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unro\Desktop\"/>
    </mc:Choice>
  </mc:AlternateContent>
  <bookViews>
    <workbookView xWindow="0" yWindow="0" windowWidth="19200" windowHeight="6470" tabRatio="749"/>
  </bookViews>
  <sheets>
    <sheet name="Calculation" sheetId="2" r:id="rId1"/>
    <sheet name="Cost Assumptions" sheetId="1" state="hidden" r:id="rId2"/>
  </sheets>
  <definedNames>
    <definedName name="_xlnm._FilterDatabase" localSheetId="1" hidden="1">'Cost Assumptions'!$B$43:$B$44</definedName>
    <definedName name="_xlnm.Print_Area" localSheetId="0">Calculation!$B$2:$V$29</definedName>
  </definedNames>
  <calcPr calcId="162913"/>
</workbook>
</file>

<file path=xl/calcChain.xml><?xml version="1.0" encoding="utf-8"?>
<calcChain xmlns="http://schemas.openxmlformats.org/spreadsheetml/2006/main">
  <c r="D39" i="1" l="1"/>
  <c r="C19" i="1"/>
  <c r="G87" i="1" l="1"/>
  <c r="F28" i="2" s="1"/>
  <c r="F14" i="2"/>
  <c r="F13" i="2" s="1"/>
  <c r="C13" i="2"/>
  <c r="C8" i="2"/>
  <c r="C20" i="2" s="1"/>
  <c r="C21" i="2"/>
  <c r="H72" i="1"/>
  <c r="G24" i="2"/>
  <c r="G18" i="2"/>
  <c r="D18" i="2"/>
  <c r="C18" i="2"/>
  <c r="E27" i="2"/>
  <c r="E28" i="2" s="1"/>
  <c r="D25" i="2"/>
  <c r="D23" i="2"/>
  <c r="D16" i="2"/>
  <c r="C25" i="2"/>
  <c r="D82" i="1"/>
  <c r="D81" i="1"/>
  <c r="G20" i="2"/>
  <c r="G21" i="2"/>
  <c r="G16" i="2"/>
  <c r="C16" i="2"/>
  <c r="G23" i="2"/>
  <c r="D8" i="2"/>
  <c r="D22" i="2"/>
  <c r="E34" i="1"/>
  <c r="D19" i="2"/>
  <c r="D34" i="1"/>
  <c r="C19" i="2"/>
  <c r="C21" i="1"/>
  <c r="D17" i="2"/>
  <c r="C13" i="1"/>
  <c r="C12" i="1"/>
  <c r="B82" i="1"/>
  <c r="B81" i="1"/>
  <c r="B80" i="1"/>
  <c r="C22" i="1"/>
  <c r="G17" i="2"/>
  <c r="C17" i="2"/>
  <c r="D27" i="2" l="1"/>
  <c r="D28" i="2" s="1"/>
  <c r="F27" i="2"/>
  <c r="C27" i="2"/>
  <c r="C28" i="2" s="1"/>
  <c r="G27" i="2"/>
  <c r="G28" i="2" s="1"/>
</calcChain>
</file>

<file path=xl/sharedStrings.xml><?xml version="1.0" encoding="utf-8"?>
<sst xmlns="http://schemas.openxmlformats.org/spreadsheetml/2006/main" count="192" uniqueCount="117">
  <si>
    <t>University of Calgary</t>
  </si>
  <si>
    <t>Benefits Costing Model</t>
  </si>
  <si>
    <t>CPP</t>
  </si>
  <si>
    <t>Contribution Rate</t>
  </si>
  <si>
    <t>EE -Annual Maximum</t>
  </si>
  <si>
    <t>ER -Annual Maximum</t>
  </si>
  <si>
    <t>EI</t>
  </si>
  <si>
    <t>Max Annual Insurable Earnings</t>
  </si>
  <si>
    <t>EE Contribution Rate per $100</t>
  </si>
  <si>
    <t>ER Contribution Rate per $100</t>
  </si>
  <si>
    <t>Pension</t>
  </si>
  <si>
    <t>Contribution Up to YMPE</t>
  </si>
  <si>
    <t>Above YMPE</t>
  </si>
  <si>
    <t>Single</t>
  </si>
  <si>
    <t>ER Share/person/month</t>
  </si>
  <si>
    <t>Family</t>
  </si>
  <si>
    <t>AD&amp;D</t>
  </si>
  <si>
    <t>Basic: $100,000 coverage</t>
  </si>
  <si>
    <t>Insurable Earnings Maximum</t>
  </si>
  <si>
    <t>ER Rate per $100</t>
  </si>
  <si>
    <t>Employee/Employer</t>
  </si>
  <si>
    <t>Annual</t>
  </si>
  <si>
    <t>Other Employer Provided Support</t>
  </si>
  <si>
    <t>YBE (annual)</t>
  </si>
  <si>
    <t xml:space="preserve">YMPE </t>
  </si>
  <si>
    <t>Employee Group</t>
  </si>
  <si>
    <t>AUPE</t>
  </si>
  <si>
    <t>MAPS</t>
  </si>
  <si>
    <t>Salary Cap</t>
  </si>
  <si>
    <t>Over Salary Cap</t>
  </si>
  <si>
    <t>Couple</t>
  </si>
  <si>
    <t>ER Share/person/month -FT</t>
  </si>
  <si>
    <t>Category</t>
  </si>
  <si>
    <t>From FTE</t>
  </si>
  <si>
    <t>To FTE</t>
  </si>
  <si>
    <t>Benefits</t>
  </si>
  <si>
    <t>ER Share/person/month -PT -80%</t>
  </si>
  <si>
    <t>ER Share/person/month -PT -60%</t>
  </si>
  <si>
    <t>Minimum allocation -FTE&gt;.39</t>
  </si>
  <si>
    <t>Allocation per FTE/year</t>
  </si>
  <si>
    <t>Extended Health &amp; Dental Indicator</t>
  </si>
  <si>
    <t>Benefit Costs</t>
  </si>
  <si>
    <t>DO NOT DELETE</t>
  </si>
  <si>
    <t>POST DOC</t>
  </si>
  <si>
    <t>Gross less 30%</t>
  </si>
  <si>
    <t xml:space="preserve">WCB is maxed at 90% of net earnings - so will estimate a 30% reduction on gross </t>
  </si>
  <si>
    <t>as an approximation</t>
  </si>
  <si>
    <t>Project Staff</t>
  </si>
  <si>
    <t>MAPS - Flexible Group Benefits Plan</t>
  </si>
  <si>
    <t>Operating</t>
  </si>
  <si>
    <t>Project</t>
  </si>
  <si>
    <t>Tri-Council Project (Y/N)</t>
  </si>
  <si>
    <t>Yes</t>
  </si>
  <si>
    <t>No</t>
  </si>
  <si>
    <t>Employer Support - Project</t>
  </si>
  <si>
    <t>AUPE FTE</t>
  </si>
  <si>
    <t>Maximum Contribution</t>
  </si>
  <si>
    <t>ALL</t>
  </si>
  <si>
    <t>Dental (Monthly Cost)</t>
  </si>
  <si>
    <t>Extended Health Care (Monthly Cost)</t>
  </si>
  <si>
    <t>WCB**</t>
  </si>
  <si>
    <t>**ER Maximum per person</t>
  </si>
  <si>
    <t>MAPS - Flexible Spending Credits - Based on Option 3 (Extended Health, Dental, Health/Wellness Spending)</t>
  </si>
  <si>
    <t>Extended Health</t>
  </si>
  <si>
    <t>Benefit Percent</t>
  </si>
  <si>
    <t>Post Doc - Life, LTD</t>
  </si>
  <si>
    <t>Basic Life Insurance</t>
  </si>
  <si>
    <t>Long Term Disability</t>
  </si>
  <si>
    <t>Flat Rate</t>
  </si>
  <si>
    <t>see Flex Credits</t>
  </si>
  <si>
    <t>Dental</t>
  </si>
  <si>
    <t>Health/Wellness Spending Credits</t>
  </si>
  <si>
    <t>b. Enter the FTE of the employee - calculate based on hours worked (ie) 1.0 FTE = full time hours; .50 FTE = half time; etc.</t>
  </si>
  <si>
    <t>Family/Single - Benefits</t>
  </si>
  <si>
    <t>i. Calculation:  Total Benefit Costs/(Rank Salary x FTE x employment term)</t>
  </si>
  <si>
    <t>1. Demographic Data</t>
  </si>
  <si>
    <t>Canada Pension Plan (CPP)</t>
  </si>
  <si>
    <t>Employment Insurance (EI)</t>
  </si>
  <si>
    <t>Workers' Compensation (WCB)</t>
  </si>
  <si>
    <t>Accidental Death &amp; Dismemberment (AD&amp;D)</t>
  </si>
  <si>
    <t>Post Doc - Basic Life &amp; Long Term Disability (LTD)</t>
  </si>
  <si>
    <t>2. Benefit Cost Calculation</t>
  </si>
  <si>
    <t>NOTE:  the cells highlighted in Blue are required fields</t>
  </si>
  <si>
    <t>FTE (Full time equivalent)</t>
  </si>
  <si>
    <t>2. If the drop down boxes do not appear, you can type in the selection:</t>
  </si>
  <si>
    <t>d.Select Single, Family, etc. for purposes of costing the Extended Health and Dental premiums</t>
  </si>
  <si>
    <t>e. Enter the number of months of employment</t>
  </si>
  <si>
    <t>c. Select YES if the Project is Tri-Council, otherwise select NO</t>
  </si>
  <si>
    <t>INSTRUCTIONS:</t>
  </si>
  <si>
    <t>Plan C,J</t>
  </si>
  <si>
    <r>
      <t xml:space="preserve">  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1.</t>
    </r>
    <r>
      <rPr>
        <sz val="10"/>
        <color indexed="10"/>
        <rFont val="Times New Roman"/>
        <family val="1"/>
      </rPr>
      <t xml:space="preserve"> Tri-Council = Yes or No;  </t>
    </r>
    <r>
      <rPr>
        <b/>
        <sz val="10"/>
        <color indexed="10"/>
        <rFont val="Times New Roman"/>
        <family val="1"/>
      </rPr>
      <t xml:space="preserve"> 2. </t>
    </r>
    <r>
      <rPr>
        <sz val="10"/>
        <color indexed="10"/>
        <rFont val="Times New Roman"/>
        <family val="1"/>
      </rPr>
      <t xml:space="preserve">Benefits = Single, Couple, or Family;   </t>
    </r>
    <r>
      <rPr>
        <b/>
        <sz val="10"/>
        <color indexed="10"/>
        <rFont val="Times New Roman"/>
        <family val="1"/>
      </rPr>
      <t>3.</t>
    </r>
    <r>
      <rPr>
        <sz val="10"/>
        <color indexed="10"/>
        <rFont val="Times New Roman"/>
        <family val="1"/>
      </rPr>
      <t xml:space="preserve"> Term of Employment = 1 to 12</t>
    </r>
  </si>
  <si>
    <r>
      <rPr>
        <b/>
        <sz val="10"/>
        <color indexed="10"/>
        <rFont val="Times New Roman"/>
        <family val="1"/>
      </rPr>
      <t>DISCLAIMER:</t>
    </r>
    <r>
      <rPr>
        <sz val="10"/>
        <rFont val="Times New Roman"/>
        <family val="1"/>
      </rPr>
      <t xml:space="preserve"> This model is designed to calculate an</t>
    </r>
    <r>
      <rPr>
        <b/>
        <u/>
        <sz val="10"/>
        <color indexed="10"/>
        <rFont val="Times New Roman"/>
        <family val="1"/>
      </rPr>
      <t xml:space="preserve"> estimate </t>
    </r>
    <r>
      <rPr>
        <sz val="10"/>
        <rFont val="Times New Roman"/>
        <family val="1"/>
      </rPr>
      <t xml:space="preserve">of total employer benefit costs for project funded </t>
    </r>
    <r>
      <rPr>
        <b/>
        <u/>
        <sz val="10"/>
        <color indexed="10"/>
        <rFont val="Times New Roman"/>
        <family val="1"/>
      </rPr>
      <t>salaried employees</t>
    </r>
    <r>
      <rPr>
        <sz val="10"/>
        <rFont val="Times New Roman"/>
        <family val="1"/>
      </rPr>
      <t xml:space="preserve">.  The intent is not to be able to model every possible pay scenario, but to provide a mechanism that can </t>
    </r>
    <r>
      <rPr>
        <u/>
        <sz val="10"/>
        <color indexed="10"/>
        <rFont val="Times New Roman"/>
        <family val="1"/>
      </rPr>
      <t xml:space="preserve">provide an </t>
    </r>
    <r>
      <rPr>
        <b/>
        <u/>
        <sz val="10"/>
        <color indexed="10"/>
        <rFont val="Times New Roman"/>
        <family val="1"/>
      </rPr>
      <t>approximation</t>
    </r>
    <r>
      <rPr>
        <u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of employer costs that will be incurred in a basic pay situation.  </t>
    </r>
  </si>
  <si>
    <r>
      <rPr>
        <b/>
        <sz val="10"/>
        <color indexed="10"/>
        <rFont val="Times New Roman"/>
        <family val="1"/>
      </rPr>
      <t>NOTE:</t>
    </r>
    <r>
      <rPr>
        <sz val="10"/>
        <rFont val="Times New Roman"/>
        <family val="1"/>
      </rPr>
      <t xml:space="preserve">  As this calculator will be updated periodically throughout the year for any benefit rate increases, it is not  recommended </t>
    </r>
  </si>
  <si>
    <t xml:space="preserve">                that you save this to your desktop or network. </t>
  </si>
  <si>
    <t>ACADEMIC</t>
  </si>
  <si>
    <t>Term of Employment (Months: Max - 12 mos)</t>
  </si>
  <si>
    <t>HOURLY</t>
  </si>
  <si>
    <t>Additional Pay Data</t>
  </si>
  <si>
    <t>Hourly - Stat Pay</t>
  </si>
  <si>
    <t>Hourly -Vacation Pay</t>
  </si>
  <si>
    <t>HOURLY:  Rank Salary = extimated annual hours X hourly rate</t>
  </si>
  <si>
    <r>
      <t xml:space="preserve">a. </t>
    </r>
    <r>
      <rPr>
        <b/>
        <sz val="10"/>
        <rFont val="Times New Roman"/>
        <family val="1"/>
      </rPr>
      <t>Enter</t>
    </r>
    <r>
      <rPr>
        <b/>
        <sz val="10"/>
        <color indexed="10"/>
        <rFont val="Times New Roman"/>
        <family val="1"/>
      </rPr>
      <t xml:space="preserve"> </t>
    </r>
    <r>
      <rPr>
        <b/>
        <u/>
        <sz val="10"/>
        <color indexed="10"/>
        <rFont val="Times New Roman"/>
        <family val="1"/>
      </rPr>
      <t>Annual Full-Time</t>
    </r>
    <r>
      <rPr>
        <b/>
        <sz val="10"/>
        <color indexed="10"/>
        <rFont val="Times New Roman"/>
        <family val="1"/>
      </rPr>
      <t xml:space="preserve"> Rank Salary only</t>
    </r>
    <r>
      <rPr>
        <b/>
        <sz val="10"/>
        <color indexed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assume full time rate (not at the part time rate)</t>
    </r>
  </si>
  <si>
    <t>Rank Salary (Full-time Annual equivalent)</t>
  </si>
  <si>
    <t>Hourly - Vacation Pay</t>
  </si>
  <si>
    <t>(Hours x Hourly Rate</t>
  </si>
  <si>
    <t>a. the Benefit Percent is based on the Annual Rank salary adjusted for the FTE and # of months employed</t>
  </si>
  <si>
    <t>The benefit cost and percent will calculate based on the demographic data that is entered</t>
  </si>
  <si>
    <r>
      <t>1. Enter Demographic data for the Employee Group you would like to cost (</t>
    </r>
    <r>
      <rPr>
        <b/>
        <u/>
        <sz val="10"/>
        <color indexed="30"/>
        <rFont val="Times New Roman"/>
        <family val="1"/>
      </rPr>
      <t>highlighted in Blue</t>
    </r>
    <r>
      <rPr>
        <b/>
        <u/>
        <sz val="10"/>
        <rFont val="Times New Roman"/>
        <family val="1"/>
      </rPr>
      <t>)</t>
    </r>
  </si>
  <si>
    <t>Operating Benefit Rates</t>
  </si>
  <si>
    <t>Max $15.20/mos</t>
  </si>
  <si>
    <t>Max Salary for LTD</t>
  </si>
  <si>
    <t>NA</t>
  </si>
  <si>
    <t>Hourly - Benefit Pay</t>
  </si>
  <si>
    <t>&gt;&gt; Rates effective January 1, 2022 &lt;&lt;</t>
  </si>
  <si>
    <t>Benefits Cost Calculator 2022</t>
  </si>
  <si>
    <t>updated with January 1, 2022 rate changes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</si>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</sst>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  <numFmt numFmtId="167" formatCode="0.000%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6"/>
      <name val="Arial"/>
      <family val="2"/>
    </font>
    <font>
      <b/>
      <sz val="16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u/>
      <sz val="10"/>
      <color indexed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10"/>
      <color indexed="3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2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6" fillId="4" borderId="0" applyNumberFormat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7" fillId="0" borderId="1">
      <alignment horizontal="center"/>
    </xf>
    <xf numFmtId="3" fontId="8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2" fillId="5" borderId="0" xfId="0" applyFont="1" applyFill="1" applyProtection="1">
      <protection locked="0"/>
    </xf>
    <xf numFmtId="166" fontId="12" fillId="6" borderId="2" xfId="2" applyNumberFormat="1" applyFont="1" applyFill="1" applyBorder="1" applyProtection="1">
      <protection locked="0"/>
    </xf>
    <xf numFmtId="165" fontId="12" fillId="6" borderId="2" xfId="2" applyNumberFormat="1" applyFont="1" applyFill="1" applyBorder="1" applyAlignment="1" applyProtection="1">
      <alignment horizontal="center"/>
      <protection locked="0"/>
    </xf>
    <xf numFmtId="165" fontId="12" fillId="6" borderId="2" xfId="2" applyNumberFormat="1" applyFont="1" applyFill="1" applyBorder="1" applyProtection="1">
      <protection locked="0"/>
    </xf>
    <xf numFmtId="166" fontId="12" fillId="6" borderId="2" xfId="2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Protection="1"/>
    <xf numFmtId="0" fontId="11" fillId="0" borderId="0" xfId="0" applyFont="1" applyBorder="1" applyAlignment="1" applyProtection="1">
      <alignment horizontal="center"/>
    </xf>
    <xf numFmtId="0" fontId="4" fillId="5" borderId="0" xfId="0" applyFont="1" applyFill="1" applyProtection="1"/>
    <xf numFmtId="0" fontId="15" fillId="5" borderId="3" xfId="0" applyFont="1" applyFill="1" applyBorder="1" applyProtection="1"/>
    <xf numFmtId="0" fontId="15" fillId="5" borderId="4" xfId="0" applyFont="1" applyFill="1" applyBorder="1" applyProtection="1"/>
    <xf numFmtId="0" fontId="15" fillId="5" borderId="5" xfId="0" applyFont="1" applyFill="1" applyBorder="1" applyProtection="1"/>
    <xf numFmtId="0" fontId="27" fillId="5" borderId="0" xfId="0" applyFont="1" applyFill="1" applyProtection="1"/>
    <xf numFmtId="0" fontId="19" fillId="5" borderId="6" xfId="0" applyFont="1" applyFill="1" applyBorder="1" applyProtection="1"/>
    <xf numFmtId="0" fontId="15" fillId="5" borderId="0" xfId="0" applyFont="1" applyFill="1" applyBorder="1" applyProtection="1"/>
    <xf numFmtId="0" fontId="15" fillId="5" borderId="7" xfId="0" applyFont="1" applyFill="1" applyBorder="1" applyProtection="1"/>
    <xf numFmtId="0" fontId="28" fillId="5" borderId="8" xfId="0" applyFont="1" applyFill="1" applyBorder="1" applyProtection="1"/>
    <xf numFmtId="0" fontId="9" fillId="2" borderId="8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3" fillId="5" borderId="6" xfId="0" applyFont="1" applyFill="1" applyBorder="1" applyProtection="1"/>
    <xf numFmtId="0" fontId="20" fillId="5" borderId="0" xfId="0" applyFont="1" applyFill="1" applyBorder="1" applyProtection="1"/>
    <xf numFmtId="0" fontId="20" fillId="5" borderId="6" xfId="0" applyFont="1" applyFill="1" applyBorder="1" applyProtection="1"/>
    <xf numFmtId="0" fontId="29" fillId="5" borderId="0" xfId="0" applyFont="1" applyFill="1" applyBorder="1" applyProtection="1"/>
    <xf numFmtId="0" fontId="15" fillId="5" borderId="6" xfId="0" applyFont="1" applyFill="1" applyBorder="1" applyProtection="1"/>
    <xf numFmtId="0" fontId="0" fillId="5" borderId="0" xfId="0" applyFill="1" applyBorder="1" applyProtection="1"/>
    <xf numFmtId="0" fontId="30" fillId="5" borderId="0" xfId="0" applyFont="1" applyFill="1" applyBorder="1" applyProtection="1"/>
    <xf numFmtId="0" fontId="2" fillId="5" borderId="0" xfId="0" applyFont="1" applyFill="1" applyProtection="1"/>
    <xf numFmtId="0" fontId="0" fillId="5" borderId="6" xfId="0" applyFill="1" applyBorder="1" applyProtection="1"/>
    <xf numFmtId="0" fontId="19" fillId="5" borderId="6" xfId="0" applyFont="1" applyFill="1" applyBorder="1" applyAlignment="1" applyProtection="1">
      <alignment horizontal="left" indent="3"/>
    </xf>
    <xf numFmtId="0" fontId="20" fillId="5" borderId="0" xfId="0" applyFont="1" applyFill="1" applyBorder="1" applyAlignment="1" applyProtection="1">
      <alignment horizontal="left" indent="2"/>
    </xf>
    <xf numFmtId="0" fontId="23" fillId="5" borderId="0" xfId="0" applyFont="1" applyFill="1" applyBorder="1" applyAlignment="1" applyProtection="1">
      <alignment horizontal="left" indent="2"/>
    </xf>
    <xf numFmtId="0" fontId="0" fillId="5" borderId="0" xfId="0" applyFill="1" applyBorder="1" applyAlignment="1" applyProtection="1">
      <alignment horizontal="left" indent="2"/>
    </xf>
    <xf numFmtId="0" fontId="15" fillId="5" borderId="0" xfId="0" applyFont="1" applyFill="1" applyBorder="1" applyAlignment="1" applyProtection="1">
      <alignment horizontal="left" indent="2"/>
    </xf>
    <xf numFmtId="0" fontId="6" fillId="5" borderId="0" xfId="0" applyFont="1" applyFill="1" applyProtection="1"/>
    <xf numFmtId="0" fontId="15" fillId="5" borderId="6" xfId="0" applyFont="1" applyFill="1" applyBorder="1" applyAlignment="1" applyProtection="1">
      <alignment horizontal="left" indent="2"/>
    </xf>
    <xf numFmtId="0" fontId="15" fillId="5" borderId="0" xfId="0" quotePrefix="1" applyFont="1" applyFill="1" applyBorder="1" applyProtection="1"/>
    <xf numFmtId="0" fontId="15" fillId="5" borderId="9" xfId="0" applyFont="1" applyFill="1" applyBorder="1" applyProtection="1"/>
    <xf numFmtId="0" fontId="15" fillId="5" borderId="1" xfId="0" applyFont="1" applyFill="1" applyBorder="1" applyProtection="1"/>
    <xf numFmtId="0" fontId="15" fillId="5" borderId="10" xfId="0" applyFont="1" applyFill="1" applyBorder="1" applyProtection="1"/>
    <xf numFmtId="0" fontId="15" fillId="5" borderId="6" xfId="0" quotePrefix="1" applyFont="1" applyFill="1" applyBorder="1" applyProtection="1"/>
    <xf numFmtId="165" fontId="15" fillId="5" borderId="0" xfId="2" applyFont="1" applyFill="1" applyBorder="1" applyProtection="1"/>
    <xf numFmtId="165" fontId="15" fillId="0" borderId="0" xfId="2" applyFont="1" applyFill="1" applyBorder="1" applyProtection="1"/>
    <xf numFmtId="0" fontId="31" fillId="5" borderId="0" xfId="0" applyFont="1" applyFill="1" applyProtection="1"/>
    <xf numFmtId="0" fontId="12" fillId="5" borderId="11" xfId="0" applyFont="1" applyFill="1" applyBorder="1" applyAlignment="1" applyProtection="1">
      <alignment horizontal="left" indent="2"/>
    </xf>
    <xf numFmtId="0" fontId="12" fillId="5" borderId="8" xfId="0" applyFont="1" applyFill="1" applyBorder="1" applyAlignment="1" applyProtection="1">
      <alignment horizontal="left" indent="2"/>
    </xf>
    <xf numFmtId="0" fontId="32" fillId="5" borderId="11" xfId="0" applyFont="1" applyFill="1" applyBorder="1" applyAlignment="1" applyProtection="1">
      <alignment horizontal="left" indent="2"/>
    </xf>
    <xf numFmtId="0" fontId="28" fillId="5" borderId="12" xfId="0" applyFont="1" applyFill="1" applyBorder="1" applyProtection="1"/>
    <xf numFmtId="0" fontId="12" fillId="5" borderId="12" xfId="0" applyFont="1" applyFill="1" applyBorder="1" applyAlignment="1" applyProtection="1">
      <alignment horizontal="left" indent="2"/>
    </xf>
    <xf numFmtId="0" fontId="12" fillId="5" borderId="0" xfId="0" applyFont="1" applyFill="1" applyProtection="1"/>
    <xf numFmtId="0" fontId="33" fillId="5" borderId="0" xfId="0" applyFont="1" applyFill="1" applyProtection="1"/>
    <xf numFmtId="166" fontId="14" fillId="5" borderId="0" xfId="2" applyNumberFormat="1" applyFont="1" applyFill="1" applyProtection="1"/>
    <xf numFmtId="165" fontId="14" fillId="5" borderId="0" xfId="2" applyFont="1" applyFill="1" applyProtection="1"/>
    <xf numFmtId="0" fontId="13" fillId="7" borderId="13" xfId="0" applyFont="1" applyFill="1" applyBorder="1" applyProtection="1"/>
    <xf numFmtId="0" fontId="13" fillId="7" borderId="14" xfId="0" applyFont="1" applyFill="1" applyBorder="1" applyProtection="1"/>
    <xf numFmtId="0" fontId="13" fillId="7" borderId="15" xfId="0" applyFont="1" applyFill="1" applyBorder="1" applyProtection="1"/>
    <xf numFmtId="165" fontId="13" fillId="8" borderId="15" xfId="2" applyFont="1" applyFill="1" applyBorder="1" applyProtection="1"/>
    <xf numFmtId="165" fontId="13" fillId="8" borderId="2" xfId="2" applyFont="1" applyFill="1" applyBorder="1" applyProtection="1"/>
    <xf numFmtId="2" fontId="32" fillId="8" borderId="2" xfId="0" applyNumberFormat="1" applyFont="1" applyFill="1" applyBorder="1" applyAlignment="1" applyProtection="1">
      <alignment horizontal="center"/>
    </xf>
    <xf numFmtId="165" fontId="12" fillId="0" borderId="12" xfId="2" applyFont="1" applyFill="1" applyBorder="1" applyProtection="1"/>
    <xf numFmtId="165" fontId="13" fillId="0" borderId="12" xfId="2" applyFont="1" applyFill="1" applyBorder="1" applyProtection="1"/>
    <xf numFmtId="2" fontId="32" fillId="8" borderId="12" xfId="0" applyNumberFormat="1" applyFont="1" applyFill="1" applyBorder="1" applyAlignment="1" applyProtection="1">
      <alignment horizontal="center"/>
    </xf>
    <xf numFmtId="165" fontId="13" fillId="0" borderId="2" xfId="2" applyFont="1" applyFill="1" applyBorder="1" applyProtection="1"/>
    <xf numFmtId="165" fontId="13" fillId="0" borderId="15" xfId="2" applyFont="1" applyFill="1" applyBorder="1" applyProtection="1"/>
    <xf numFmtId="165" fontId="13" fillId="0" borderId="2" xfId="2" applyFont="1" applyFill="1" applyBorder="1" applyAlignment="1" applyProtection="1">
      <alignment wrapText="1"/>
    </xf>
    <xf numFmtId="165" fontId="13" fillId="0" borderId="10" xfId="2" applyFont="1" applyFill="1" applyBorder="1" applyProtection="1"/>
    <xf numFmtId="165" fontId="13" fillId="8" borderId="0" xfId="2" applyFont="1" applyFill="1" applyBorder="1" applyProtection="1"/>
    <xf numFmtId="165" fontId="13" fillId="9" borderId="2" xfId="2" applyFont="1" applyFill="1" applyBorder="1" applyProtection="1"/>
    <xf numFmtId="165" fontId="13" fillId="7" borderId="14" xfId="2" applyFont="1" applyFill="1" applyBorder="1" applyProtection="1"/>
    <xf numFmtId="165" fontId="13" fillId="7" borderId="15" xfId="2" applyFont="1" applyFill="1" applyBorder="1" applyProtection="1"/>
    <xf numFmtId="165" fontId="12" fillId="0" borderId="15" xfId="2" applyFont="1" applyFill="1" applyBorder="1" applyProtection="1"/>
    <xf numFmtId="165" fontId="12" fillId="0" borderId="2" xfId="2" applyFont="1" applyFill="1" applyBorder="1" applyProtection="1"/>
    <xf numFmtId="10" fontId="12" fillId="0" borderId="2" xfId="4" applyNumberFormat="1" applyFont="1" applyFill="1" applyBorder="1" applyProtection="1"/>
    <xf numFmtId="2" fontId="12" fillId="0" borderId="2" xfId="0" applyNumberFormat="1" applyFont="1" applyBorder="1" applyAlignment="1" applyProtection="1">
      <alignment horizontal="center"/>
    </xf>
    <xf numFmtId="165" fontId="12" fillId="8" borderId="2" xfId="2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3" fillId="5" borderId="3" xfId="0" applyFont="1" applyFill="1" applyBorder="1" applyProtection="1"/>
    <xf numFmtId="0" fontId="2" fillId="5" borderId="6" xfId="0" applyFont="1" applyFill="1" applyBorder="1" applyProtection="1"/>
    <xf numFmtId="0" fontId="2" fillId="5" borderId="6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0" fontId="2" fillId="5" borderId="9" xfId="0" applyFont="1" applyFill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0" fontId="31" fillId="5" borderId="0" xfId="0" applyFont="1" applyFill="1" applyProtection="1">
      <protection locked="0"/>
    </xf>
    <xf numFmtId="165" fontId="14" fillId="5" borderId="0" xfId="2" applyFont="1" applyFill="1" applyProtection="1">
      <protection locked="0"/>
    </xf>
    <xf numFmtId="0" fontId="2" fillId="5" borderId="0" xfId="0" applyFont="1" applyFill="1" applyBorder="1" applyProtection="1">
      <protection locked="0"/>
    </xf>
    <xf numFmtId="165" fontId="25" fillId="5" borderId="0" xfId="2" applyFont="1" applyFill="1" applyProtection="1">
      <protection locked="0"/>
    </xf>
    <xf numFmtId="0" fontId="1" fillId="10" borderId="0" xfId="0" applyFont="1" applyFill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0" borderId="14" xfId="0" applyFont="1" applyFill="1" applyBorder="1" applyProtection="1"/>
    <xf numFmtId="166" fontId="1" fillId="0" borderId="14" xfId="2" applyNumberFormat="1" applyFont="1" applyFill="1" applyBorder="1" applyProtection="1"/>
    <xf numFmtId="0" fontId="1" fillId="0" borderId="15" xfId="0" applyFont="1" applyFill="1" applyBorder="1" applyProtection="1"/>
    <xf numFmtId="0" fontId="1" fillId="0" borderId="0" xfId="0" applyFont="1" applyFill="1" applyBorder="1" applyProtection="1"/>
    <xf numFmtId="166" fontId="1" fillId="0" borderId="0" xfId="2" applyNumberFormat="1" applyFont="1" applyFill="1" applyBorder="1" applyProtection="1"/>
    <xf numFmtId="0" fontId="1" fillId="0" borderId="7" xfId="0" applyFont="1" applyFill="1" applyBorder="1" applyProtection="1"/>
    <xf numFmtId="166" fontId="1" fillId="0" borderId="16" xfId="2" applyNumberFormat="1" applyFont="1" applyFill="1" applyBorder="1" applyProtection="1"/>
    <xf numFmtId="166" fontId="1" fillId="0" borderId="17" xfId="2" applyNumberFormat="1" applyFont="1" applyFill="1" applyBorder="1" applyProtection="1"/>
    <xf numFmtId="166" fontId="1" fillId="0" borderId="18" xfId="2" applyNumberFormat="1" applyFont="1" applyFill="1" applyBorder="1" applyProtection="1"/>
    <xf numFmtId="166" fontId="1" fillId="0" borderId="19" xfId="2" applyNumberFormat="1" applyFont="1" applyFill="1" applyBorder="1" applyProtection="1"/>
    <xf numFmtId="166" fontId="1" fillId="0" borderId="7" xfId="2" applyNumberFormat="1" applyFont="1" applyFill="1" applyBorder="1" applyProtection="1"/>
    <xf numFmtId="10" fontId="1" fillId="0" borderId="0" xfId="4" applyNumberFormat="1" applyFont="1" applyFill="1" applyBorder="1" applyProtection="1"/>
    <xf numFmtId="10" fontId="1" fillId="0" borderId="19" xfId="4" applyNumberFormat="1" applyFont="1" applyFill="1" applyBorder="1" applyProtection="1"/>
    <xf numFmtId="10" fontId="1" fillId="0" borderId="7" xfId="4" applyNumberFormat="1" applyFont="1" applyFill="1" applyBorder="1" applyProtection="1"/>
    <xf numFmtId="165" fontId="2" fillId="0" borderId="0" xfId="2" applyNumberFormat="1" applyFont="1" applyFill="1" applyBorder="1" applyProtection="1"/>
    <xf numFmtId="165" fontId="2" fillId="0" borderId="19" xfId="2" applyNumberFormat="1" applyFont="1" applyFill="1" applyBorder="1" applyProtection="1"/>
    <xf numFmtId="165" fontId="2" fillId="0" borderId="7" xfId="2" applyNumberFormat="1" applyFont="1" applyFill="1" applyBorder="1" applyProtection="1"/>
    <xf numFmtId="165" fontId="2" fillId="0" borderId="20" xfId="2" applyNumberFormat="1" applyFont="1" applyFill="1" applyBorder="1" applyProtection="1"/>
    <xf numFmtId="165" fontId="2" fillId="0" borderId="21" xfId="2" applyNumberFormat="1" applyFont="1" applyFill="1" applyBorder="1" applyProtection="1"/>
    <xf numFmtId="165" fontId="2" fillId="0" borderId="22" xfId="2" applyNumberFormat="1" applyFont="1" applyFill="1" applyBorder="1" applyProtection="1"/>
    <xf numFmtId="0" fontId="1" fillId="0" borderId="1" xfId="0" applyFont="1" applyFill="1" applyBorder="1" applyProtection="1"/>
    <xf numFmtId="166" fontId="1" fillId="0" borderId="1" xfId="2" applyNumberFormat="1" applyFont="1" applyFill="1" applyBorder="1" applyProtection="1"/>
    <xf numFmtId="0" fontId="1" fillId="0" borderId="10" xfId="0" applyFont="1" applyFill="1" applyBorder="1" applyProtection="1"/>
    <xf numFmtId="165" fontId="1" fillId="0" borderId="0" xfId="2" quotePrefix="1" applyFont="1" applyFill="1" applyBorder="1" applyAlignment="1" applyProtection="1">
      <alignment horizontal="center"/>
    </xf>
    <xf numFmtId="165" fontId="1" fillId="0" borderId="19" xfId="2" quotePrefix="1" applyFont="1" applyFill="1" applyBorder="1" applyAlignment="1" applyProtection="1">
      <alignment horizontal="center"/>
    </xf>
    <xf numFmtId="165" fontId="1" fillId="0" borderId="7" xfId="2" quotePrefix="1" applyFont="1" applyFill="1" applyBorder="1" applyAlignment="1" applyProtection="1">
      <alignment horizontal="center"/>
    </xf>
    <xf numFmtId="165" fontId="1" fillId="0" borderId="0" xfId="0" quotePrefix="1" applyNumberFormat="1" applyFont="1" applyFill="1" applyBorder="1" applyAlignment="1" applyProtection="1">
      <alignment horizontal="right"/>
    </xf>
    <xf numFmtId="165" fontId="1" fillId="0" borderId="19" xfId="0" quotePrefix="1" applyNumberFormat="1" applyFont="1" applyFill="1" applyBorder="1" applyAlignment="1" applyProtection="1">
      <alignment horizontal="right"/>
    </xf>
    <xf numFmtId="165" fontId="1" fillId="0" borderId="7" xfId="0" quotePrefix="1" applyNumberFormat="1" applyFont="1" applyFill="1" applyBorder="1" applyAlignment="1" applyProtection="1">
      <alignment horizontal="right"/>
    </xf>
    <xf numFmtId="0" fontId="1" fillId="0" borderId="19" xfId="0" applyFont="1" applyFill="1" applyBorder="1" applyProtection="1"/>
    <xf numFmtId="165" fontId="2" fillId="0" borderId="0" xfId="2" applyFont="1" applyFill="1" applyBorder="1" applyProtection="1"/>
    <xf numFmtId="165" fontId="2" fillId="0" borderId="19" xfId="2" applyFont="1" applyFill="1" applyBorder="1" applyProtection="1"/>
    <xf numFmtId="165" fontId="2" fillId="0" borderId="7" xfId="2" applyFont="1" applyFill="1" applyBorder="1" applyProtection="1"/>
    <xf numFmtId="165" fontId="2" fillId="0" borderId="20" xfId="2" applyFont="1" applyFill="1" applyBorder="1" applyProtection="1"/>
    <xf numFmtId="165" fontId="2" fillId="0" borderId="21" xfId="2" applyFont="1" applyFill="1" applyBorder="1" applyProtection="1"/>
    <xf numFmtId="165" fontId="2" fillId="0" borderId="22" xfId="2" applyFont="1" applyFill="1" applyBorder="1" applyProtection="1"/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9" fontId="1" fillId="0" borderId="17" xfId="4" applyFont="1" applyFill="1" applyBorder="1" applyProtection="1"/>
    <xf numFmtId="9" fontId="1" fillId="0" borderId="18" xfId="4" applyFont="1" applyFill="1" applyBorder="1" applyProtection="1"/>
    <xf numFmtId="0" fontId="1" fillId="0" borderId="21" xfId="0" applyFont="1" applyFill="1" applyBorder="1" applyAlignment="1" applyProtection="1">
      <alignment horizontal="center"/>
    </xf>
    <xf numFmtId="0" fontId="1" fillId="0" borderId="21" xfId="0" applyFont="1" applyFill="1" applyBorder="1" applyProtection="1"/>
    <xf numFmtId="0" fontId="1" fillId="0" borderId="22" xfId="0" applyFont="1" applyFill="1" applyBorder="1" applyProtection="1"/>
    <xf numFmtId="165" fontId="2" fillId="0" borderId="0" xfId="0" applyNumberFormat="1" applyFont="1" applyFill="1" applyBorder="1" applyProtection="1"/>
    <xf numFmtId="165" fontId="2" fillId="0" borderId="7" xfId="0" applyNumberFormat="1" applyFont="1" applyFill="1" applyBorder="1" applyProtection="1"/>
    <xf numFmtId="0" fontId="2" fillId="0" borderId="14" xfId="0" quotePrefix="1" applyFont="1" applyFill="1" applyBorder="1" applyAlignment="1" applyProtection="1">
      <alignment horizontal="center"/>
    </xf>
    <xf numFmtId="15" fontId="2" fillId="0" borderId="14" xfId="0" quotePrefix="1" applyNumberFormat="1" applyFont="1" applyFill="1" applyBorder="1" applyAlignment="1" applyProtection="1">
      <alignment horizontal="center"/>
    </xf>
    <xf numFmtId="15" fontId="2" fillId="0" borderId="15" xfId="0" quotePrefix="1" applyNumberFormat="1" applyFont="1" applyFill="1" applyBorder="1" applyAlignment="1" applyProtection="1">
      <alignment horizontal="center"/>
    </xf>
    <xf numFmtId="0" fontId="1" fillId="0" borderId="23" xfId="0" applyFont="1" applyFill="1" applyBorder="1" applyProtection="1"/>
    <xf numFmtId="166" fontId="1" fillId="0" borderId="23" xfId="2" applyNumberFormat="1" applyFont="1" applyFill="1" applyBorder="1" applyProtection="1"/>
    <xf numFmtId="166" fontId="1" fillId="0" borderId="24" xfId="2" applyNumberFormat="1" applyFont="1" applyFill="1" applyBorder="1" applyProtection="1"/>
    <xf numFmtId="0" fontId="1" fillId="0" borderId="25" xfId="0" applyFont="1" applyFill="1" applyBorder="1" applyProtection="1"/>
    <xf numFmtId="165" fontId="1" fillId="0" borderId="0" xfId="2" applyFont="1" applyFill="1" applyBorder="1" applyProtection="1"/>
    <xf numFmtId="4" fontId="1" fillId="0" borderId="0" xfId="0" applyNumberFormat="1" applyFont="1" applyFill="1" applyBorder="1" applyProtection="1"/>
    <xf numFmtId="4" fontId="1" fillId="0" borderId="25" xfId="0" applyNumberFormat="1" applyFont="1" applyFill="1" applyBorder="1" applyProtection="1"/>
    <xf numFmtId="166" fontId="1" fillId="0" borderId="26" xfId="2" applyNumberFormat="1" applyFont="1" applyFill="1" applyBorder="1" applyProtection="1"/>
    <xf numFmtId="10" fontId="1" fillId="0" borderId="0" xfId="0" applyNumberFormat="1" applyFont="1" applyFill="1" applyBorder="1" applyProtection="1"/>
    <xf numFmtId="10" fontId="1" fillId="0" borderId="25" xfId="0" applyNumberFormat="1" applyFont="1" applyFill="1" applyBorder="1" applyProtection="1"/>
    <xf numFmtId="10" fontId="1" fillId="0" borderId="26" xfId="0" applyNumberFormat="1" applyFont="1" applyFill="1" applyBorder="1" applyProtection="1"/>
    <xf numFmtId="10" fontId="1" fillId="0" borderId="25" xfId="4" applyNumberFormat="1" applyFont="1" applyFill="1" applyBorder="1" applyProtection="1"/>
    <xf numFmtId="10" fontId="1" fillId="0" borderId="26" xfId="4" applyNumberFormat="1" applyFont="1" applyFill="1" applyBorder="1" applyProtection="1"/>
    <xf numFmtId="167" fontId="1" fillId="0" borderId="0" xfId="0" applyNumberFormat="1" applyFont="1" applyFill="1" applyBorder="1" applyProtection="1"/>
    <xf numFmtId="167" fontId="1" fillId="0" borderId="25" xfId="0" applyNumberFormat="1" applyFont="1" applyFill="1" applyBorder="1" applyProtection="1"/>
    <xf numFmtId="167" fontId="1" fillId="0" borderId="26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27" xfId="0" applyFont="1" applyFill="1" applyBorder="1" applyProtection="1"/>
    <xf numFmtId="167" fontId="1" fillId="0" borderId="28" xfId="0" applyNumberFormat="1" applyFont="1" applyFill="1" applyBorder="1" applyProtection="1"/>
    <xf numFmtId="167" fontId="1" fillId="0" borderId="27" xfId="0" applyNumberFormat="1" applyFont="1" applyFill="1" applyBorder="1" applyProtection="1"/>
    <xf numFmtId="167" fontId="1" fillId="0" borderId="29" xfId="0" applyNumberFormat="1" applyFont="1" applyFill="1" applyBorder="1" applyProtection="1"/>
    <xf numFmtId="0" fontId="2" fillId="0" borderId="0" xfId="0" quotePrefix="1" applyFont="1" applyFill="1" applyBorder="1" applyAlignment="1" applyProtection="1">
      <alignment horizontal="center"/>
    </xf>
    <xf numFmtId="165" fontId="1" fillId="0" borderId="1" xfId="2" applyFont="1" applyFill="1" applyBorder="1" applyProtection="1"/>
    <xf numFmtId="167" fontId="1" fillId="0" borderId="1" xfId="0" applyNumberFormat="1" applyFont="1" applyFill="1" applyBorder="1" applyProtection="1"/>
    <xf numFmtId="167" fontId="1" fillId="0" borderId="10" xfId="0" applyNumberFormat="1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2" fontId="1" fillId="0" borderId="17" xfId="0" applyNumberFormat="1" applyFont="1" applyFill="1" applyBorder="1" applyProtection="1"/>
    <xf numFmtId="0" fontId="1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2" fontId="1" fillId="0" borderId="24" xfId="0" applyNumberFormat="1" applyFont="1" applyFill="1" applyBorder="1" applyProtection="1"/>
    <xf numFmtId="9" fontId="2" fillId="0" borderId="16" xfId="0" applyNumberFormat="1" applyFont="1" applyFill="1" applyBorder="1" applyProtection="1"/>
    <xf numFmtId="0" fontId="2" fillId="0" borderId="17" xfId="0" applyFont="1" applyFill="1" applyBorder="1" applyProtection="1"/>
    <xf numFmtId="0" fontId="2" fillId="0" borderId="30" xfId="0" applyFont="1" applyFill="1" applyBorder="1" applyProtection="1"/>
    <xf numFmtId="0" fontId="2" fillId="0" borderId="21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2" fontId="1" fillId="0" borderId="21" xfId="0" applyNumberFormat="1" applyFont="1" applyFill="1" applyBorder="1" applyProtection="1"/>
    <xf numFmtId="0" fontId="1" fillId="0" borderId="20" xfId="0" applyFont="1" applyFill="1" applyBorder="1" applyAlignment="1" applyProtection="1">
      <alignment horizontal="center"/>
    </xf>
    <xf numFmtId="0" fontId="1" fillId="0" borderId="20" xfId="0" applyFont="1" applyFill="1" applyBorder="1" applyProtection="1"/>
    <xf numFmtId="0" fontId="1" fillId="0" borderId="29" xfId="0" applyFont="1" applyFill="1" applyBorder="1" applyProtection="1"/>
    <xf numFmtId="0" fontId="2" fillId="0" borderId="19" xfId="0" applyFont="1" applyFill="1" applyBorder="1" applyProtection="1"/>
    <xf numFmtId="0" fontId="2" fillId="0" borderId="0" xfId="0" applyFont="1" applyFill="1" applyBorder="1" applyProtection="1"/>
    <xf numFmtId="0" fontId="2" fillId="0" borderId="31" xfId="0" applyFont="1" applyFill="1" applyBorder="1" applyProtection="1"/>
    <xf numFmtId="2" fontId="1" fillId="0" borderId="23" xfId="0" applyNumberFormat="1" applyFont="1" applyFill="1" applyBorder="1" applyProtection="1"/>
    <xf numFmtId="2" fontId="1" fillId="0" borderId="16" xfId="0" applyNumberFormat="1" applyFont="1" applyFill="1" applyBorder="1" applyProtection="1"/>
    <xf numFmtId="2" fontId="2" fillId="0" borderId="19" xfId="0" applyNumberFormat="1" applyFont="1" applyFill="1" applyBorder="1" applyProtection="1"/>
    <xf numFmtId="2" fontId="2" fillId="0" borderId="0" xfId="0" applyNumberFormat="1" applyFont="1" applyFill="1" applyBorder="1" applyProtection="1"/>
    <xf numFmtId="9" fontId="2" fillId="0" borderId="31" xfId="4" applyFont="1" applyFill="1" applyBorder="1" applyProtection="1"/>
    <xf numFmtId="2" fontId="1" fillId="0" borderId="27" xfId="0" applyNumberFormat="1" applyFont="1" applyFill="1" applyBorder="1" applyProtection="1"/>
    <xf numFmtId="2" fontId="1" fillId="0" borderId="20" xfId="0" applyNumberFormat="1" applyFont="1" applyFill="1" applyBorder="1" applyProtection="1"/>
    <xf numFmtId="2" fontId="1" fillId="0" borderId="29" xfId="0" applyNumberFormat="1" applyFont="1" applyFill="1" applyBorder="1" applyProtection="1"/>
    <xf numFmtId="0" fontId="2" fillId="0" borderId="20" xfId="0" applyFont="1" applyFill="1" applyBorder="1" applyProtection="1"/>
    <xf numFmtId="0" fontId="2" fillId="0" borderId="21" xfId="0" applyFont="1" applyFill="1" applyBorder="1" applyProtection="1"/>
    <xf numFmtId="165" fontId="2" fillId="0" borderId="32" xfId="2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2" fontId="1" fillId="0" borderId="16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2" fontId="1" fillId="0" borderId="0" xfId="0" applyNumberFormat="1" applyFont="1" applyFill="1" applyBorder="1" applyProtection="1"/>
    <xf numFmtId="2" fontId="1" fillId="0" borderId="25" xfId="0" applyNumberFormat="1" applyFont="1" applyFill="1" applyBorder="1" applyProtection="1"/>
    <xf numFmtId="2" fontId="1" fillId="0" borderId="19" xfId="0" applyNumberFormat="1" applyFont="1" applyFill="1" applyBorder="1" applyAlignment="1" applyProtection="1">
      <alignment horizontal="center"/>
    </xf>
    <xf numFmtId="2" fontId="1" fillId="0" borderId="19" xfId="0" applyNumberFormat="1" applyFont="1" applyFill="1" applyBorder="1" applyProtection="1"/>
    <xf numFmtId="2" fontId="1" fillId="0" borderId="26" xfId="0" applyNumberFormat="1" applyFont="1" applyFill="1" applyBorder="1" applyProtection="1"/>
    <xf numFmtId="2" fontId="1" fillId="0" borderId="20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left"/>
    </xf>
    <xf numFmtId="2" fontId="1" fillId="0" borderId="30" xfId="0" applyNumberFormat="1" applyFont="1" applyFill="1" applyBorder="1" applyProtection="1"/>
    <xf numFmtId="165" fontId="1" fillId="0" borderId="0" xfId="2" applyFont="1" applyFill="1" applyProtection="1"/>
    <xf numFmtId="0" fontId="2" fillId="0" borderId="19" xfId="0" applyFont="1" applyFill="1" applyBorder="1" applyAlignment="1" applyProtection="1">
      <alignment horizontal="left"/>
    </xf>
    <xf numFmtId="2" fontId="1" fillId="0" borderId="31" xfId="0" applyNumberFormat="1" applyFont="1" applyFill="1" applyBorder="1" applyProtection="1"/>
    <xf numFmtId="0" fontId="2" fillId="0" borderId="20" xfId="0" applyFont="1" applyFill="1" applyBorder="1" applyAlignment="1" applyProtection="1">
      <alignment horizontal="left"/>
    </xf>
    <xf numFmtId="0" fontId="1" fillId="0" borderId="32" xfId="0" applyFont="1" applyFill="1" applyBorder="1" applyProtection="1"/>
    <xf numFmtId="2" fontId="1" fillId="0" borderId="32" xfId="0" applyNumberFormat="1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2" fontId="1" fillId="0" borderId="1" xfId="0" applyNumberFormat="1" applyFont="1" applyFill="1" applyBorder="1" applyProtection="1"/>
    <xf numFmtId="2" fontId="1" fillId="0" borderId="10" xfId="0" applyNumberFormat="1" applyFont="1" applyFill="1" applyBorder="1" applyProtection="1"/>
    <xf numFmtId="0" fontId="1" fillId="0" borderId="23" xfId="0" applyFont="1" applyFill="1" applyBorder="1" applyAlignment="1" applyProtection="1">
      <alignment horizontal="center"/>
    </xf>
    <xf numFmtId="0" fontId="1" fillId="0" borderId="17" xfId="0" applyFont="1" applyFill="1" applyBorder="1" applyProtection="1"/>
    <xf numFmtId="0" fontId="1" fillId="0" borderId="30" xfId="0" applyFont="1" applyFill="1" applyBorder="1" applyProtection="1"/>
    <xf numFmtId="0" fontId="1" fillId="0" borderId="18" xfId="0" applyFont="1" applyFill="1" applyBorder="1" applyProtection="1"/>
    <xf numFmtId="0" fontId="1" fillId="0" borderId="27" xfId="0" applyFont="1" applyFill="1" applyBorder="1" applyAlignment="1" applyProtection="1">
      <alignment horizontal="center"/>
    </xf>
    <xf numFmtId="165" fontId="1" fillId="0" borderId="22" xfId="2" applyFont="1" applyFill="1" applyBorder="1" applyProtection="1"/>
    <xf numFmtId="164" fontId="1" fillId="0" borderId="1" xfId="0" applyNumberFormat="1" applyFont="1" applyFill="1" applyBorder="1" applyAlignment="1" applyProtection="1">
      <alignment horizontal="center"/>
    </xf>
    <xf numFmtId="166" fontId="1" fillId="0" borderId="10" xfId="2" applyNumberFormat="1" applyFont="1" applyFill="1" applyBorder="1" applyProtection="1"/>
    <xf numFmtId="2" fontId="1" fillId="0" borderId="18" xfId="0" applyNumberFormat="1" applyFont="1" applyFill="1" applyBorder="1" applyProtection="1"/>
    <xf numFmtId="165" fontId="2" fillId="0" borderId="21" xfId="2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wrapText="1"/>
    </xf>
    <xf numFmtId="9" fontId="1" fillId="0" borderId="17" xfId="0" applyNumberFormat="1" applyFont="1" applyFill="1" applyBorder="1" applyProtection="1"/>
    <xf numFmtId="0" fontId="1" fillId="0" borderId="24" xfId="0" applyFont="1" applyFill="1" applyBorder="1" applyProtection="1"/>
    <xf numFmtId="9" fontId="1" fillId="0" borderId="0" xfId="0" applyNumberFormat="1" applyFont="1" applyFill="1" applyBorder="1" applyProtection="1"/>
    <xf numFmtId="0" fontId="1" fillId="0" borderId="26" xfId="0" applyFont="1" applyFill="1" applyBorder="1" applyProtection="1"/>
    <xf numFmtId="9" fontId="1" fillId="0" borderId="21" xfId="0" applyNumberFormat="1" applyFont="1" applyFill="1" applyBorder="1" applyProtection="1"/>
    <xf numFmtId="9" fontId="1" fillId="0" borderId="1" xfId="0" applyNumberFormat="1" applyFont="1" applyFill="1" applyBorder="1" applyProtection="1"/>
    <xf numFmtId="10" fontId="2" fillId="0" borderId="28" xfId="0" applyNumberFormat="1" applyFont="1" applyFill="1" applyBorder="1" applyProtection="1"/>
    <xf numFmtId="10" fontId="2" fillId="0" borderId="33" xfId="0" applyNumberFormat="1" applyFont="1" applyFill="1" applyBorder="1" applyProtection="1"/>
    <xf numFmtId="10" fontId="2" fillId="0" borderId="1" xfId="0" applyNumberFormat="1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10" fontId="2" fillId="0" borderId="4" xfId="0" applyNumberFormat="1" applyFont="1" applyFill="1" applyBorder="1" applyProtection="1"/>
    <xf numFmtId="0" fontId="1" fillId="0" borderId="5" xfId="0" applyFont="1" applyFill="1" applyBorder="1" applyProtection="1"/>
    <xf numFmtId="10" fontId="2" fillId="0" borderId="1" xfId="0" applyNumberFormat="1" applyFont="1" applyFill="1" applyBorder="1" applyProtection="1"/>
    <xf numFmtId="0" fontId="1" fillId="0" borderId="0" xfId="0" applyFont="1" applyFill="1" applyProtection="1">
      <protection locked="0"/>
    </xf>
    <xf numFmtId="0" fontId="3" fillId="0" borderId="13" xfId="0" applyFont="1" applyFill="1" applyBorder="1" applyProtection="1"/>
    <xf numFmtId="0" fontId="3" fillId="0" borderId="6" xfId="0" applyFont="1" applyFill="1" applyBorder="1" applyProtection="1"/>
    <xf numFmtId="0" fontId="2" fillId="0" borderId="6" xfId="0" applyFont="1" applyFill="1" applyBorder="1" applyProtection="1"/>
    <xf numFmtId="0" fontId="1" fillId="0" borderId="6" xfId="0" applyFont="1" applyFill="1" applyBorder="1" applyProtection="1"/>
    <xf numFmtId="0" fontId="1" fillId="0" borderId="9" xfId="0" applyFont="1" applyFill="1" applyBorder="1" applyProtection="1"/>
    <xf numFmtId="0" fontId="2" fillId="0" borderId="34" xfId="0" applyFont="1" applyFill="1" applyBorder="1" applyProtection="1"/>
    <xf numFmtId="0" fontId="2" fillId="0" borderId="35" xfId="0" applyFont="1" applyFill="1" applyBorder="1" applyProtection="1"/>
    <xf numFmtId="0" fontId="2" fillId="0" borderId="9" xfId="0" applyFont="1" applyFill="1" applyBorder="1" applyProtection="1"/>
    <xf numFmtId="0" fontId="1" fillId="0" borderId="35" xfId="0" applyFont="1" applyFill="1" applyBorder="1" applyAlignment="1" applyProtection="1">
      <alignment horizontal="left" indent="1"/>
    </xf>
    <xf numFmtId="0" fontId="2" fillId="0" borderId="3" xfId="0" applyFont="1" applyFill="1" applyBorder="1" applyProtection="1"/>
    <xf numFmtId="165" fontId="12" fillId="0" borderId="5" xfId="2" applyFont="1" applyFill="1" applyBorder="1" applyProtection="1"/>
    <xf numFmtId="10" fontId="2" fillId="0" borderId="0" xfId="0" applyNumberFormat="1" applyFont="1" applyFill="1" applyBorder="1" applyProtection="1"/>
    <xf numFmtId="166" fontId="0" fillId="5" borderId="0" xfId="0" applyNumberFormat="1" applyFill="1" applyProtection="1"/>
    <xf numFmtId="165" fontId="0" fillId="5" borderId="0" xfId="0" applyNumberFormat="1" applyFill="1" applyProtection="1"/>
    <xf numFmtId="165" fontId="0" fillId="5" borderId="0" xfId="0" applyNumberFormat="1" applyFill="1" applyProtection="1">
      <protection locked="0"/>
    </xf>
    <xf numFmtId="166" fontId="0" fillId="5" borderId="0" xfId="0" applyNumberFormat="1" applyFill="1" applyProtection="1">
      <protection locked="0"/>
    </xf>
    <xf numFmtId="0" fontId="28" fillId="5" borderId="12" xfId="0" applyFont="1" applyFill="1" applyBorder="1" applyAlignment="1" applyProtection="1">
      <alignment horizontal="left" indent="1"/>
    </xf>
    <xf numFmtId="0" fontId="28" fillId="5" borderId="8" xfId="0" applyFont="1" applyFill="1" applyBorder="1" applyAlignment="1" applyProtection="1">
      <alignment horizontal="left" indent="1"/>
    </xf>
    <xf numFmtId="10" fontId="12" fillId="0" borderId="15" xfId="4" applyNumberFormat="1" applyFont="1" applyFill="1" applyBorder="1" applyProtection="1"/>
    <xf numFmtId="0" fontId="10" fillId="5" borderId="12" xfId="0" applyFont="1" applyFill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/>
    </xf>
    <xf numFmtId="0" fontId="15" fillId="5" borderId="13" xfId="0" applyFont="1" applyFill="1" applyBorder="1" applyAlignment="1" applyProtection="1">
      <alignment wrapText="1"/>
    </xf>
    <xf numFmtId="0" fontId="15" fillId="5" borderId="14" xfId="0" applyFont="1" applyFill="1" applyBorder="1" applyAlignment="1" applyProtection="1">
      <alignment wrapText="1"/>
    </xf>
    <xf numFmtId="0" fontId="15" fillId="5" borderId="15" xfId="0" applyFont="1" applyFill="1" applyBorder="1" applyAlignment="1" applyProtection="1">
      <alignment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34" fillId="4" borderId="13" xfId="1" applyFont="1" applyBorder="1" applyAlignment="1" applyProtection="1">
      <alignment horizontal="center" vertical="center"/>
    </xf>
    <xf numFmtId="0" fontId="34" fillId="4" borderId="14" xfId="1" applyFont="1" applyBorder="1" applyAlignment="1" applyProtection="1">
      <alignment horizontal="center" vertical="center"/>
    </xf>
    <xf numFmtId="0" fontId="34" fillId="4" borderId="15" xfId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11">
    <cellStyle name="20% - Accent6" xfId="1" builtinId="50"/>
    <cellStyle name="Comma" xfId="2" builtinId="3"/>
    <cellStyle name="Comma 2" xfId="3"/>
    <cellStyle name="Normal" xfId="0" builtinId="0"/>
    <cellStyle name="Percent" xfId="4" builtinId="5"/>
    <cellStyle name="Percent 2 3" xfId="5"/>
    <cellStyle name="PSChar" xfId="6"/>
    <cellStyle name="PSDate" xfId="7"/>
    <cellStyle name="PSDec" xfId="8"/>
    <cellStyle name="PSHeading" xfId="9"/>
    <cellStyle name="PSInt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AK86"/>
  <sheetViews>
    <sheetView tabSelected="1" topLeftCell="A2" zoomScale="90" zoomScaleNormal="90" workbookViewId="0">
      <selection activeCell="E65" sqref="E65"/>
    </sheetView>
  </sheetViews>
  <sheetFormatPr defaultColWidth="9.1796875" defaultRowHeight="12.5" x14ac:dyDescent="0.25"/>
  <cols>
    <col min="1" max="1" width="4.54296875" style="3" customWidth="1"/>
    <col min="2" max="2" width="56.54296875" style="3" customWidth="1"/>
    <col min="3" max="7" width="20.7265625" style="1" customWidth="1"/>
    <col min="8" max="8" width="9.81640625" style="1" customWidth="1"/>
    <col min="9" max="9" width="5.7265625" style="3" customWidth="1"/>
    <col min="10" max="10" width="4.26953125" style="3" customWidth="1"/>
    <col min="11" max="11" width="9.1796875" style="3"/>
    <col min="12" max="12" width="10.81640625" style="3" customWidth="1"/>
    <col min="13" max="13" width="12.1796875" style="3" bestFit="1" customWidth="1"/>
    <col min="14" max="37" width="9.1796875" style="3"/>
    <col min="38" max="16384" width="9.1796875" style="1"/>
  </cols>
  <sheetData>
    <row r="1" spans="1:37" s="3" customFormat="1" ht="43.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7" ht="49.5" customHeight="1" thickBot="1" x14ac:dyDescent="0.7">
      <c r="A2" s="10"/>
      <c r="B2" s="270" t="s">
        <v>114</v>
      </c>
      <c r="C2" s="271"/>
      <c r="D2" s="271"/>
      <c r="E2" s="271"/>
      <c r="F2" s="271"/>
      <c r="G2" s="272"/>
      <c r="H2" s="11"/>
      <c r="I2" s="12"/>
      <c r="J2" s="265" t="s">
        <v>91</v>
      </c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  <c r="V2" s="10"/>
      <c r="W2" s="10"/>
      <c r="X2" s="10"/>
      <c r="AK2" s="1"/>
    </row>
    <row r="3" spans="1:37" ht="15" customHeight="1" x14ac:dyDescent="0.3">
      <c r="A3" s="10"/>
      <c r="B3" s="263" t="s">
        <v>25</v>
      </c>
      <c r="C3" s="268" t="s">
        <v>26</v>
      </c>
      <c r="D3" s="268" t="s">
        <v>27</v>
      </c>
      <c r="E3" s="268" t="s">
        <v>94</v>
      </c>
      <c r="F3" s="268" t="s">
        <v>96</v>
      </c>
      <c r="G3" s="268" t="s">
        <v>43</v>
      </c>
      <c r="H3" s="12"/>
      <c r="I3" s="12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0"/>
      <c r="W3" s="10"/>
      <c r="X3" s="10"/>
      <c r="AK3" s="1"/>
    </row>
    <row r="4" spans="1:37" ht="15" customHeight="1" thickBot="1" x14ac:dyDescent="0.35">
      <c r="A4" s="10"/>
      <c r="B4" s="264"/>
      <c r="C4" s="269"/>
      <c r="D4" s="269"/>
      <c r="E4" s="273"/>
      <c r="F4" s="273"/>
      <c r="G4" s="269"/>
      <c r="H4" s="16"/>
      <c r="I4" s="16"/>
      <c r="J4" s="17" t="s">
        <v>88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0"/>
      <c r="W4" s="10"/>
      <c r="X4" s="10"/>
      <c r="AK4" s="1"/>
    </row>
    <row r="5" spans="1:37" ht="15" customHeight="1" thickBot="1" x14ac:dyDescent="0.35">
      <c r="A5" s="10"/>
      <c r="B5" s="20" t="s">
        <v>75</v>
      </c>
      <c r="C5" s="21"/>
      <c r="D5" s="21"/>
      <c r="E5" s="21"/>
      <c r="F5" s="22" t="s">
        <v>104</v>
      </c>
      <c r="G5" s="21"/>
      <c r="H5" s="16"/>
      <c r="I5" s="16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0"/>
      <c r="W5" s="10"/>
      <c r="X5" s="10"/>
      <c r="AK5" s="1"/>
    </row>
    <row r="6" spans="1:37" ht="15" customHeight="1" thickBot="1" x14ac:dyDescent="0.35">
      <c r="A6" s="10"/>
      <c r="B6" s="47" t="s">
        <v>102</v>
      </c>
      <c r="C6" s="5">
        <v>50000</v>
      </c>
      <c r="D6" s="5">
        <v>50000</v>
      </c>
      <c r="E6" s="5">
        <v>50000</v>
      </c>
      <c r="F6" s="5">
        <v>1825</v>
      </c>
      <c r="G6" s="5">
        <v>50000</v>
      </c>
      <c r="H6" s="10"/>
      <c r="I6" s="10"/>
      <c r="J6" s="23" t="s">
        <v>107</v>
      </c>
      <c r="K6" s="24"/>
      <c r="L6" s="24"/>
      <c r="M6" s="24"/>
      <c r="N6" s="24"/>
      <c r="O6" s="24"/>
      <c r="P6" s="24"/>
      <c r="Q6" s="18"/>
      <c r="R6" s="18"/>
      <c r="S6" s="18"/>
      <c r="T6" s="18"/>
      <c r="U6" s="19"/>
      <c r="V6" s="10"/>
      <c r="W6" s="10"/>
      <c r="X6" s="10"/>
      <c r="AK6" s="1"/>
    </row>
    <row r="7" spans="1:37" ht="15" customHeight="1" thickBot="1" x14ac:dyDescent="0.35">
      <c r="A7" s="10"/>
      <c r="B7" s="47" t="s">
        <v>83</v>
      </c>
      <c r="C7" s="6">
        <v>1</v>
      </c>
      <c r="D7" s="6">
        <v>1</v>
      </c>
      <c r="E7" s="6">
        <v>1</v>
      </c>
      <c r="F7" s="77"/>
      <c r="G7" s="7">
        <v>1</v>
      </c>
      <c r="H7" s="10"/>
      <c r="I7" s="10"/>
      <c r="J7" s="25"/>
      <c r="K7" s="18"/>
      <c r="L7" s="24"/>
      <c r="M7" s="24"/>
      <c r="N7" s="24"/>
      <c r="O7" s="24"/>
      <c r="P7" s="24"/>
      <c r="Q7" s="18"/>
      <c r="R7" s="18"/>
      <c r="S7" s="18"/>
      <c r="T7" s="18"/>
      <c r="U7" s="19"/>
      <c r="V7" s="10"/>
      <c r="W7" s="10"/>
      <c r="X7" s="10"/>
      <c r="AK7" s="1"/>
    </row>
    <row r="8" spans="1:37" ht="15" customHeight="1" thickBot="1" x14ac:dyDescent="0.35">
      <c r="A8" s="10"/>
      <c r="B8" s="47" t="s">
        <v>40</v>
      </c>
      <c r="C8" s="76">
        <f>IF($C$7&lt;0.4,0,IF($C$7&lt;0.6,'Cost Assumptions'!$L$47,IF($C$7&gt;=0.8,'Cost Assumptions'!$L$45,'Cost Assumptions'!$L$46)))</f>
        <v>1</v>
      </c>
      <c r="D8" s="76">
        <f>IF($D$7&lt;0.4,0,IF($D$7&lt;0.6,'Cost Assumptions'!$L$47,IF($D$7&gt;=0.8,'Cost Assumptions'!$L$45,'Cost Assumptions'!$L$46)))</f>
        <v>1</v>
      </c>
      <c r="E8" s="61"/>
      <c r="F8" s="61"/>
      <c r="G8" s="61"/>
      <c r="H8" s="10"/>
      <c r="I8" s="10"/>
      <c r="J8" s="25"/>
      <c r="K8" s="26" t="s">
        <v>82</v>
      </c>
      <c r="L8" s="24"/>
      <c r="M8" s="24"/>
      <c r="N8" s="24"/>
      <c r="O8" s="24"/>
      <c r="P8" s="24"/>
      <c r="Q8" s="18"/>
      <c r="R8" s="18"/>
      <c r="S8" s="18"/>
      <c r="T8" s="18"/>
      <c r="U8" s="19"/>
      <c r="V8" s="10"/>
      <c r="W8" s="10"/>
      <c r="X8" s="10"/>
      <c r="AK8" s="1"/>
    </row>
    <row r="9" spans="1:37" ht="15" customHeight="1" thickBot="1" x14ac:dyDescent="0.35">
      <c r="A9" s="10"/>
      <c r="B9" s="47" t="s">
        <v>51</v>
      </c>
      <c r="C9" s="6" t="s">
        <v>53</v>
      </c>
      <c r="D9" s="6" t="s">
        <v>53</v>
      </c>
      <c r="E9" s="61"/>
      <c r="F9" s="61"/>
      <c r="G9" s="61"/>
      <c r="H9" s="10"/>
      <c r="I9" s="10"/>
      <c r="J9" s="27"/>
      <c r="K9" s="18" t="s">
        <v>101</v>
      </c>
      <c r="L9" s="18"/>
      <c r="M9" s="18"/>
      <c r="N9" s="18"/>
      <c r="O9" s="18"/>
      <c r="P9" s="18"/>
      <c r="Q9" s="18"/>
      <c r="R9" s="18"/>
      <c r="S9" s="18"/>
      <c r="T9" s="18"/>
      <c r="U9" s="19"/>
      <c r="V9" s="10"/>
      <c r="W9" s="10"/>
      <c r="X9" s="10"/>
      <c r="AK9" s="1"/>
    </row>
    <row r="10" spans="1:37" ht="15" customHeight="1" thickBot="1" x14ac:dyDescent="0.35">
      <c r="A10" s="10"/>
      <c r="B10" s="47" t="s">
        <v>73</v>
      </c>
      <c r="C10" s="6" t="s">
        <v>15</v>
      </c>
      <c r="D10" s="6" t="s">
        <v>15</v>
      </c>
      <c r="E10" s="61"/>
      <c r="F10" s="61"/>
      <c r="G10" s="6" t="s">
        <v>15</v>
      </c>
      <c r="H10" s="10"/>
      <c r="I10" s="10"/>
      <c r="J10" s="27"/>
      <c r="K10" s="28"/>
      <c r="L10" s="29" t="s">
        <v>100</v>
      </c>
      <c r="M10" s="28"/>
      <c r="N10" s="28"/>
      <c r="O10" s="28"/>
      <c r="P10" s="28"/>
      <c r="Q10" s="28"/>
      <c r="R10" s="28"/>
      <c r="S10" s="28"/>
      <c r="T10" s="18"/>
      <c r="U10" s="19"/>
      <c r="V10" s="10"/>
      <c r="W10" s="10"/>
      <c r="X10" s="10"/>
      <c r="AK10" s="1"/>
    </row>
    <row r="11" spans="1:37" s="2" customFormat="1" ht="15" customHeight="1" thickBot="1" x14ac:dyDescent="0.35">
      <c r="A11" s="30"/>
      <c r="B11" s="48" t="s">
        <v>95</v>
      </c>
      <c r="C11" s="8">
        <v>12</v>
      </c>
      <c r="D11" s="8">
        <v>12</v>
      </c>
      <c r="E11" s="8">
        <v>12</v>
      </c>
      <c r="F11" s="61"/>
      <c r="G11" s="8">
        <v>12</v>
      </c>
      <c r="H11" s="12"/>
      <c r="I11" s="30"/>
      <c r="J11" s="17"/>
      <c r="K11" s="18" t="s">
        <v>72</v>
      </c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30"/>
      <c r="W11" s="30"/>
      <c r="X11" s="30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7" ht="15" customHeight="1" thickBot="1" x14ac:dyDescent="0.4">
      <c r="A12" s="10"/>
      <c r="B12" s="260" t="s">
        <v>97</v>
      </c>
      <c r="C12" s="56"/>
      <c r="D12" s="57"/>
      <c r="E12" s="57"/>
      <c r="F12" s="57"/>
      <c r="G12" s="58"/>
      <c r="H12" s="10"/>
      <c r="I12" s="10"/>
      <c r="J12" s="27"/>
      <c r="K12" s="18" t="s">
        <v>87</v>
      </c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0"/>
      <c r="W12" s="10"/>
      <c r="X12" s="10"/>
      <c r="AK12" s="1"/>
    </row>
    <row r="13" spans="1:37" ht="15" customHeight="1" thickBot="1" x14ac:dyDescent="0.4">
      <c r="A13" s="10"/>
      <c r="B13" s="51" t="s">
        <v>98</v>
      </c>
      <c r="C13" s="254">
        <f>IF(C7&lt;1,C6*0.05,0)</f>
        <v>0</v>
      </c>
      <c r="D13" s="60"/>
      <c r="E13" s="61"/>
      <c r="F13" s="62">
        <f>($F$6+F14)*'Cost Assumptions'!$G$88</f>
        <v>96.725000000000009</v>
      </c>
      <c r="G13" s="60"/>
      <c r="H13" s="10"/>
      <c r="I13" s="10"/>
      <c r="J13" s="27"/>
      <c r="K13" s="18" t="s">
        <v>85</v>
      </c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0"/>
      <c r="W13" s="10"/>
      <c r="X13" s="10"/>
      <c r="AK13" s="1"/>
    </row>
    <row r="14" spans="1:37" ht="15" customHeight="1" thickBot="1" x14ac:dyDescent="0.4">
      <c r="A14" s="10"/>
      <c r="B14" s="48" t="s">
        <v>99</v>
      </c>
      <c r="C14" s="59"/>
      <c r="D14" s="60"/>
      <c r="E14" s="61"/>
      <c r="F14" s="62">
        <f>F6*'Cost Assumptions'!G89</f>
        <v>109.5</v>
      </c>
      <c r="G14" s="60"/>
      <c r="H14" s="10"/>
      <c r="I14" s="10"/>
      <c r="J14" s="27"/>
      <c r="K14" s="18" t="s">
        <v>86</v>
      </c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0"/>
      <c r="W14" s="10"/>
      <c r="X14" s="10"/>
      <c r="AK14" s="1"/>
    </row>
    <row r="15" spans="1:37" ht="15" customHeight="1" thickBot="1" x14ac:dyDescent="0.4">
      <c r="A15" s="10"/>
      <c r="B15" s="261" t="s">
        <v>41</v>
      </c>
      <c r="C15" s="56"/>
      <c r="D15" s="57"/>
      <c r="E15" s="57"/>
      <c r="F15" s="57"/>
      <c r="G15" s="58"/>
      <c r="H15" s="10"/>
      <c r="I15" s="10"/>
      <c r="J15" s="31"/>
      <c r="K15" s="28"/>
      <c r="L15" s="28"/>
      <c r="M15" s="28"/>
      <c r="N15" s="28"/>
      <c r="O15" s="28"/>
      <c r="P15" s="28"/>
      <c r="Q15" s="28"/>
      <c r="R15" s="28"/>
      <c r="S15" s="28"/>
      <c r="T15" s="18"/>
      <c r="U15" s="19"/>
      <c r="V15" s="10"/>
      <c r="W15" s="10"/>
      <c r="X15" s="10"/>
      <c r="AK15" s="1"/>
    </row>
    <row r="16" spans="1:37" ht="15" customHeight="1" thickBot="1" x14ac:dyDescent="0.4">
      <c r="A16" s="10"/>
      <c r="B16" s="47" t="s">
        <v>76</v>
      </c>
      <c r="C16" s="63">
        <f>IF((($C$7*$C$6)/12*$C$11)&lt;3500,0,IF((($C$7*$C$6)/12*$C$11)&gt;'Cost Assumptions'!$C$8,(('Cost Assumptions'!$C$8-'Cost Assumptions'!$C$9)*'Cost Assumptions'!$C$10),(((($C$7*$C$6)/12*$C$11)-'Cost Assumptions'!$C$9/12*$C$11)*'Cost Assumptions'!$C$10)))</f>
        <v>2650.5</v>
      </c>
      <c r="D16" s="63">
        <f>IF((($D$7*$D$6)/12*$D$11)&lt;3500,0,IF((($D$7*$D$6)/12*$D$11)&gt;'Cost Assumptions'!$C$8,(('Cost Assumptions'!$C$8-'Cost Assumptions'!$C$9)*'Cost Assumptions'!$C$10),(((($D$7*$D$6)/12*$D$11)-'Cost Assumptions'!$C$9/12*$D$11)*'Cost Assumptions'!$C$10)))</f>
        <v>2650.5</v>
      </c>
      <c r="E16" s="61"/>
      <c r="F16" s="64"/>
      <c r="G16" s="63">
        <f>IF((($G$7*$G$6)/12*$G$11)&lt;3500,0,IF((($G$7*$G$6)/12*$G$11)&gt;'Cost Assumptions'!$C$8,(('Cost Assumptions'!$C$8-'Cost Assumptions'!$C$9)*'Cost Assumptions'!$C$10),(((($G$7*$G$6)/12*$G$11)-'Cost Assumptions'!$C$9/12*$G$11)*'Cost Assumptions'!$C$10)))</f>
        <v>2650.5</v>
      </c>
      <c r="H16" s="10"/>
      <c r="I16" s="10"/>
      <c r="J16" s="32" t="s">
        <v>106</v>
      </c>
      <c r="K16" s="33"/>
      <c r="L16" s="34"/>
      <c r="M16" s="34"/>
      <c r="N16" s="34"/>
      <c r="O16" s="34"/>
      <c r="P16" s="34"/>
      <c r="Q16" s="34"/>
      <c r="R16" s="35"/>
      <c r="S16" s="35"/>
      <c r="T16" s="36"/>
      <c r="U16" s="19"/>
      <c r="V16" s="10"/>
      <c r="W16" s="10"/>
      <c r="X16" s="10"/>
      <c r="AK16" s="1"/>
    </row>
    <row r="17" spans="1:37" ht="15" customHeight="1" thickBot="1" x14ac:dyDescent="0.4">
      <c r="A17" s="10"/>
      <c r="B17" s="47" t="s">
        <v>77</v>
      </c>
      <c r="C17" s="65">
        <f>IF((($C$7*$C$6)/12*$C$11)&gt;'Cost Assumptions'!$C$17,('Cost Assumptions'!$C$17/'Cost Assumptions'!$B$19*('Cost Assumptions'!$C$19)),(((($C$7*$C$6)/12*$C$11)/'Cost Assumptions'!$B$19*'Cost Assumptions'!$C$19)))</f>
        <v>925.88</v>
      </c>
      <c r="D17" s="65">
        <f>IF((($D$7*$D$6)/12*$D$11)&gt;'Cost Assumptions'!$C$17,('Cost Assumptions'!$C$17/'Cost Assumptions'!$B$19*('Cost Assumptions'!$C$19)),(((($D$7*$D$6)/12*$D$11)/'Cost Assumptions'!$B$19*'Cost Assumptions'!$C$19)))</f>
        <v>925.88</v>
      </c>
      <c r="E17" s="61"/>
      <c r="F17" s="61"/>
      <c r="G17" s="65">
        <f>IF((($G$7*$G$6)/12*$G$11)&gt;'Cost Assumptions'!$C$17,('Cost Assumptions'!$C$17/'Cost Assumptions'!$B$19*('Cost Assumptions'!$C$19)),(((($G$7*$G$6)/12*$G$11)/'Cost Assumptions'!$B$19*'Cost Assumptions'!$C$19)))</f>
        <v>925.88</v>
      </c>
      <c r="H17" s="37"/>
      <c r="I17" s="37"/>
      <c r="J17" s="38"/>
      <c r="K17" s="36" t="s">
        <v>105</v>
      </c>
      <c r="L17" s="36"/>
      <c r="M17" s="36"/>
      <c r="N17" s="36"/>
      <c r="O17" s="36"/>
      <c r="P17" s="36"/>
      <c r="Q17" s="36"/>
      <c r="R17" s="35"/>
      <c r="S17" s="35"/>
      <c r="T17" s="36"/>
      <c r="U17" s="19"/>
      <c r="V17" s="10"/>
      <c r="W17" s="10"/>
      <c r="X17" s="10"/>
      <c r="AK17" s="1"/>
    </row>
    <row r="18" spans="1:37" ht="15" customHeight="1" thickBot="1" x14ac:dyDescent="0.4">
      <c r="A18" s="10"/>
      <c r="B18" s="49" t="s">
        <v>78</v>
      </c>
      <c r="C18" s="66">
        <f>((($C$6*$C$7)-(($C$6*$C$7)*'Cost Assumptions'!$C$26))*$C$11/12)/'Cost Assumptions'!$B$27*'Cost Assumptions'!$C$27</f>
        <v>115.5</v>
      </c>
      <c r="D18" s="65">
        <f>((($D$6*$D$7)-(($D$6*$D$7)*'Cost Assumptions'!$C$26))*$D$11/12)/'Cost Assumptions'!$B$27*'Cost Assumptions'!$C$27</f>
        <v>115.5</v>
      </c>
      <c r="E18" s="61"/>
      <c r="F18" s="61"/>
      <c r="G18" s="65">
        <f>((($G$6*$G$7)-(($G$6*$G$7)*'Cost Assumptions'!$C$26))*$G$11/12)/'Cost Assumptions'!$B$27*'Cost Assumptions'!$C$27</f>
        <v>115.5</v>
      </c>
      <c r="H18" s="10"/>
      <c r="I18" s="10"/>
      <c r="J18" s="38"/>
      <c r="K18" s="36"/>
      <c r="L18" s="36" t="s">
        <v>74</v>
      </c>
      <c r="M18" s="36"/>
      <c r="N18" s="36"/>
      <c r="O18" s="36"/>
      <c r="P18" s="36"/>
      <c r="Q18" s="36"/>
      <c r="R18" s="35"/>
      <c r="S18" s="35"/>
      <c r="T18" s="36"/>
      <c r="U18" s="19"/>
      <c r="V18" s="10"/>
      <c r="W18" s="10"/>
      <c r="X18" s="10"/>
      <c r="AK18" s="1"/>
    </row>
    <row r="19" spans="1:37" ht="15" customHeight="1" thickBot="1" x14ac:dyDescent="0.4">
      <c r="A19" s="10"/>
      <c r="B19" s="47" t="s">
        <v>10</v>
      </c>
      <c r="C19" s="66">
        <f>(IF(($C$6*$C$7)&gt;'Cost Assumptions'!$D$35,'Cost Assumptions'!$D$39/12*$C$11,IF(($C$6*$C$7)&lt;='Cost Assumptions'!$D$34,($C$7*$C$6)*'Cost Assumptions'!$D$36/12*$C$11,IF(($C$6*$C$7)&gt;'Cost Assumptions'!$D$34,((($C$6*$C$7)-'Cost Assumptions'!$D$34)*'Cost Assumptions'!$D$37/12*$C$11)+('Cost Assumptions'!$D$34*'Cost Assumptions'!$D$36/12*$C$11)))))</f>
        <v>4800</v>
      </c>
      <c r="D19" s="67">
        <f>(IF(($D$6*$D$7)&gt;='Cost Assumptions'!$E$34,'Cost Assumptions'!$E$34*'Cost Assumptions'!$E$36/12*$D$11)+IF(($D$6*$D$7)&gt;'Cost Assumptions'!$E$35,((('Cost Assumptions'!$E$35-'Cost Assumptions'!$E$34)*'Cost Assumptions'!$E$37/12*$D$11)+((($D$6*$D$7)-'Cost Assumptions'!$E$35)*'Cost Assumptions'!$E$38/12*$D$11)),IF(($D$6*$D$7)&lt;'Cost Assumptions'!$E$34,($D$6*$D$7)*'Cost Assumptions'!$E$36/12*$D$11,IF(($D$6*$D$7)&lt;'Cost Assumptions'!$E$35,((($D$6*$D$7)-'Cost Assumptions'!$E$34)*'Cost Assumptions'!$E$37/12*$D$11),0))))</f>
        <v>6185</v>
      </c>
      <c r="E19" s="61"/>
      <c r="F19" s="61"/>
      <c r="G19" s="60"/>
      <c r="H19" s="10"/>
      <c r="I19" s="10"/>
      <c r="J19" s="27"/>
      <c r="K19" s="18"/>
      <c r="L19" s="18"/>
      <c r="M19" s="18"/>
      <c r="N19" s="18"/>
      <c r="O19" s="18"/>
      <c r="P19" s="18"/>
      <c r="Q19" s="18"/>
      <c r="R19" s="28"/>
      <c r="S19" s="28"/>
      <c r="T19" s="18"/>
      <c r="U19" s="19"/>
      <c r="V19" s="10"/>
      <c r="W19" s="10"/>
      <c r="X19" s="10"/>
      <c r="AK19" s="1"/>
    </row>
    <row r="20" spans="1:37" ht="15" customHeight="1" thickBot="1" x14ac:dyDescent="0.4">
      <c r="A20" s="10"/>
      <c r="B20" s="47" t="s">
        <v>63</v>
      </c>
      <c r="C20" s="68">
        <f>IF($C$8=0.8,IF($C$10="family",('Cost Assumptions'!$D$46*$C$11),IF($C$10="single",'Cost Assumptions'!$D$45*$C$11,0)))+IF($C$8=1,IF($C$10="Family",('Cost Assumptions'!$D$44*$C$11),IF($C$10="Single",('Cost Assumptions'!$D$43*$C$11),0)))+IF($C$8=0.6,IF($C$10="Family",('Cost Assumptions'!$D$48*$C$11),IF($C$10="Single",'Cost Assumptions'!$D$47*$C$11)))</f>
        <v>2040.72</v>
      </c>
      <c r="D20" s="60"/>
      <c r="E20" s="60"/>
      <c r="F20" s="60"/>
      <c r="G20" s="65">
        <f>IF($G$10="single",('Cost Assumptions'!$H$43*$G$11),IF($G$10="family",('Cost Assumptions'!$H$44*$G$11),0))</f>
        <v>1561.8000000000002</v>
      </c>
      <c r="H20" s="10"/>
      <c r="I20" s="10"/>
      <c r="J20" s="23" t="s">
        <v>84</v>
      </c>
      <c r="K20" s="24"/>
      <c r="L20" s="24"/>
      <c r="M20" s="24"/>
      <c r="N20" s="24"/>
      <c r="O20" s="24"/>
      <c r="P20" s="18"/>
      <c r="Q20" s="18"/>
      <c r="R20" s="18"/>
      <c r="S20" s="18"/>
      <c r="T20" s="18"/>
      <c r="U20" s="19"/>
      <c r="V20" s="10"/>
      <c r="W20" s="10"/>
      <c r="X20" s="10"/>
      <c r="AK20" s="1"/>
    </row>
    <row r="21" spans="1:37" ht="15" customHeight="1" thickBot="1" x14ac:dyDescent="0.4">
      <c r="A21" s="10"/>
      <c r="B21" s="47" t="s">
        <v>70</v>
      </c>
      <c r="C21" s="68">
        <f>IF($C$8=0.8,IF($C$10="family",('Cost Assumptions'!$D$56*$C$11),IF($C$10="single",'Cost Assumptions'!$D$55*$C$11,0)))+IF($C$8=1,IF($C$10="Family",('Cost Assumptions'!$D$53*$C$11),IF($C$10="Single",('Cost Assumptions'!$D$52*$C$11),0)))+IF($C$8=0.6,IF($C$10="Family",('Cost Assumptions'!$D$59*$C$11),IF($C$10="Single",'Cost Assumptions'!$D$58*$C$11)))</f>
        <v>1273.92</v>
      </c>
      <c r="D21" s="69"/>
      <c r="E21" s="61"/>
      <c r="F21" s="61"/>
      <c r="G21" s="65">
        <f>IF($G$10="single",('Cost Assumptions'!H52*$G$11),IF($G$10="family",('Cost Assumptions'!H53*$G$11),0))</f>
        <v>826.44</v>
      </c>
      <c r="H21" s="10"/>
      <c r="I21" s="10"/>
      <c r="J21" s="27"/>
      <c r="K21" s="39" t="s">
        <v>90</v>
      </c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0"/>
      <c r="W21" s="10"/>
      <c r="X21" s="10"/>
      <c r="AK21" s="1"/>
    </row>
    <row r="22" spans="1:37" ht="15" customHeight="1" thickBot="1" x14ac:dyDescent="0.4">
      <c r="A22" s="10"/>
      <c r="B22" s="47" t="s">
        <v>48</v>
      </c>
      <c r="C22" s="59"/>
      <c r="D22" s="70">
        <f>IF($D$10="Single",('Cost Assumptions'!$E$64*$D$11),IF($D$10="Couple",('Cost Assumptions'!$E$66*$D$11),IF($D$10="Family",('Cost Assumptions'!$E$65*$D$11),0)))</f>
        <v>4712.5199999999995</v>
      </c>
      <c r="E22" s="61"/>
      <c r="F22" s="61"/>
      <c r="G22" s="60"/>
      <c r="H22" s="10"/>
      <c r="I22" s="10"/>
      <c r="J22" s="27"/>
      <c r="K22" s="39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0"/>
      <c r="W22" s="10"/>
      <c r="X22" s="10"/>
      <c r="AK22" s="1"/>
    </row>
    <row r="23" spans="1:37" ht="15" customHeight="1" thickBot="1" x14ac:dyDescent="0.4">
      <c r="A23" s="10"/>
      <c r="B23" s="47" t="s">
        <v>79</v>
      </c>
      <c r="C23" s="59"/>
      <c r="D23" s="65">
        <f>'Cost Assumptions'!$E$75*Calculation!$D$11</f>
        <v>16.799999999999997</v>
      </c>
      <c r="E23" s="61"/>
      <c r="F23" s="61"/>
      <c r="G23" s="65">
        <f>'Cost Assumptions'!H75*G11</f>
        <v>25.200000000000003</v>
      </c>
      <c r="H23" s="12"/>
      <c r="I23" s="12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0"/>
      <c r="W23" s="10"/>
      <c r="X23" s="10"/>
      <c r="AK23" s="1"/>
    </row>
    <row r="24" spans="1:37" ht="15" customHeight="1" thickBot="1" x14ac:dyDescent="0.4">
      <c r="A24" s="10"/>
      <c r="B24" s="47" t="s">
        <v>80</v>
      </c>
      <c r="C24" s="59"/>
      <c r="D24" s="60"/>
      <c r="E24" s="61"/>
      <c r="F24" s="61"/>
      <c r="G24" s="65">
        <f>('Cost Assumptions'!$H$70*Calculation!$G$11)+IF($G$6*$G$7&gt;'Cost Assumptions'!$H$72,'Cost Assumptions'!$H$71*Calculation!$G$11,('Cost Assumptions'!$H$71*Calculation!$G$11)*($G$6*$G$7/'Cost Assumptions'!$H$72))</f>
        <v>232.68</v>
      </c>
      <c r="H24" s="12"/>
      <c r="I24" s="10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0"/>
      <c r="W24" s="10"/>
      <c r="X24" s="10"/>
      <c r="AK24" s="1"/>
    </row>
    <row r="25" spans="1:37" ht="15" customHeight="1" thickBot="1" x14ac:dyDescent="0.4">
      <c r="A25" s="10"/>
      <c r="B25" s="48" t="s">
        <v>54</v>
      </c>
      <c r="C25" s="66">
        <f>IF($C$9="No",(($C$6*$C$7)/12*$C$11)*'Cost Assumptions'!$D$86,0)</f>
        <v>1500</v>
      </c>
      <c r="D25" s="65">
        <f>IF($D$9="No",(($D$6*$D$7)/12*$D$11)*'Cost Assumptions'!$E$86,0)</f>
        <v>1500</v>
      </c>
      <c r="E25" s="61"/>
      <c r="F25" s="61"/>
      <c r="G25" s="60"/>
      <c r="H25" s="10"/>
      <c r="I25" s="10"/>
      <c r="J25" s="27" t="s">
        <v>92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0"/>
      <c r="W25" s="10"/>
      <c r="X25" s="10"/>
      <c r="AK25" s="1"/>
    </row>
    <row r="26" spans="1:37" ht="15" customHeight="1" thickBot="1" x14ac:dyDescent="0.4">
      <c r="A26" s="10"/>
      <c r="B26" s="50" t="s">
        <v>81</v>
      </c>
      <c r="C26" s="71"/>
      <c r="D26" s="71"/>
      <c r="E26" s="71"/>
      <c r="F26" s="71"/>
      <c r="G26" s="72"/>
      <c r="H26" s="10"/>
      <c r="I26" s="10"/>
      <c r="J26" s="43" t="s">
        <v>93</v>
      </c>
      <c r="K26" s="44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0"/>
      <c r="W26" s="10"/>
      <c r="X26" s="10"/>
      <c r="AK26" s="1"/>
    </row>
    <row r="27" spans="1:37" ht="15.5" thickBot="1" x14ac:dyDescent="0.35">
      <c r="A27" s="10"/>
      <c r="B27" s="51" t="s">
        <v>41</v>
      </c>
      <c r="C27" s="73">
        <f>SUM(C16:C25)</f>
        <v>13306.52</v>
      </c>
      <c r="D27" s="74">
        <f>SUM(D16:D25)</f>
        <v>16106.2</v>
      </c>
      <c r="E27" s="74">
        <f>($E$6*$E$7*$E$11/12)*'Cost Assumptions'!$F$87</f>
        <v>10250</v>
      </c>
      <c r="F27" s="74">
        <f>(F6+F13+F14)*F28</f>
        <v>160.09627956</v>
      </c>
      <c r="G27" s="74">
        <f>SUM(G16:G25)</f>
        <v>6338.0000000000009</v>
      </c>
      <c r="H27" s="10"/>
      <c r="I27" s="10"/>
      <c r="J27" s="43"/>
      <c r="K27" s="45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0"/>
      <c r="W27" s="10"/>
      <c r="X27" s="10"/>
      <c r="AK27" s="1"/>
    </row>
    <row r="28" spans="1:37" ht="15.5" thickBot="1" x14ac:dyDescent="0.35">
      <c r="A28" s="10"/>
      <c r="B28" s="48" t="s">
        <v>64</v>
      </c>
      <c r="C28" s="262">
        <f>$C$27/((($C$6*$C$7)/12*$C$11)+C13)</f>
        <v>0.26613039999999999</v>
      </c>
      <c r="D28" s="75">
        <f>$D$27/(($D$6*$D$7)/12*$D$11)</f>
        <v>0.32212400000000002</v>
      </c>
      <c r="E28" s="75">
        <f>$E$27/(($E$6*$E$7)*$E$11/12)</f>
        <v>0.20499999999999999</v>
      </c>
      <c r="F28" s="75">
        <f>'Cost Assumptions'!G87</f>
        <v>7.8817600000000002E-2</v>
      </c>
      <c r="G28" s="75">
        <f>$G$27/(($G$6*$G$7)/12*$G$11)</f>
        <v>0.12676000000000001</v>
      </c>
      <c r="H28" s="10"/>
      <c r="I28" s="46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10"/>
      <c r="W28" s="10"/>
      <c r="X28" s="10"/>
      <c r="AK28" s="1"/>
    </row>
    <row r="29" spans="1:37" x14ac:dyDescent="0.25">
      <c r="A29" s="10"/>
      <c r="B29" s="10"/>
      <c r="C29" s="5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K29" s="1"/>
    </row>
    <row r="30" spans="1:37" s="3" customFormat="1" ht="15" x14ac:dyDescent="0.3">
      <c r="A30" s="10"/>
      <c r="B30" s="52" t="s">
        <v>113</v>
      </c>
      <c r="C30" s="5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37" s="3" customFormat="1" x14ac:dyDescent="0.25">
      <c r="A31" s="10"/>
      <c r="B31" s="53"/>
      <c r="C31" s="10"/>
      <c r="D31" s="55"/>
      <c r="E31" s="55"/>
      <c r="F31" s="55"/>
      <c r="G31" s="25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37" s="3" customFormat="1" x14ac:dyDescent="0.25">
      <c r="A32" s="10"/>
      <c r="B32" s="53"/>
      <c r="C32" s="10"/>
      <c r="D32" s="55"/>
      <c r="E32" s="55"/>
      <c r="F32" s="55"/>
      <c r="G32" s="25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3" customFormat="1" x14ac:dyDescent="0.25">
      <c r="A33" s="10"/>
      <c r="B33" s="12"/>
      <c r="C33" s="10"/>
      <c r="D33" s="55"/>
      <c r="E33" s="55"/>
      <c r="F33" s="55"/>
      <c r="G33" s="25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3" customFormat="1" x14ac:dyDescent="0.25">
      <c r="A34" s="10"/>
      <c r="B34" s="53"/>
      <c r="C34" s="10"/>
      <c r="D34" s="55"/>
      <c r="E34" s="55"/>
      <c r="F34" s="55"/>
      <c r="G34" s="25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3" customFormat="1" ht="13" hidden="1" x14ac:dyDescent="0.3">
      <c r="A35" s="10"/>
      <c r="B35" s="78"/>
      <c r="D35" s="86"/>
      <c r="E35" s="86"/>
      <c r="F35" s="86"/>
      <c r="I35" s="10"/>
      <c r="J35" s="10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3" customFormat="1" ht="13" hidden="1" x14ac:dyDescent="0.3">
      <c r="A36" s="79" t="s">
        <v>42</v>
      </c>
      <c r="B36" s="78"/>
      <c r="D36" s="86"/>
      <c r="E36" s="86"/>
      <c r="F36" s="86"/>
      <c r="K36" s="84"/>
    </row>
    <row r="37" spans="1:24" s="3" customFormat="1" hidden="1" x14ac:dyDescent="0.25">
      <c r="A37" s="31"/>
      <c r="B37" s="28"/>
      <c r="C37" s="9"/>
      <c r="K37" s="84"/>
    </row>
    <row r="38" spans="1:24" s="3" customFormat="1" ht="13" hidden="1" x14ac:dyDescent="0.3">
      <c r="A38" s="80" t="s">
        <v>15</v>
      </c>
      <c r="B38" s="28"/>
      <c r="C38" s="9"/>
      <c r="K38" s="84"/>
    </row>
    <row r="39" spans="1:24" s="3" customFormat="1" ht="13" hidden="1" x14ac:dyDescent="0.3">
      <c r="A39" s="80" t="s">
        <v>13</v>
      </c>
      <c r="B39" s="78" t="s">
        <v>49</v>
      </c>
      <c r="C39" s="87"/>
    </row>
    <row r="40" spans="1:24" s="3" customFormat="1" ht="13" hidden="1" x14ac:dyDescent="0.3">
      <c r="A40" s="80" t="s">
        <v>30</v>
      </c>
      <c r="B40" s="78" t="s">
        <v>50</v>
      </c>
      <c r="C40" s="87"/>
    </row>
    <row r="41" spans="1:24" s="3" customFormat="1" hidden="1" x14ac:dyDescent="0.25">
      <c r="A41" s="31"/>
      <c r="B41" s="28"/>
      <c r="C41" s="9"/>
    </row>
    <row r="42" spans="1:24" s="3" customFormat="1" ht="13" hidden="1" x14ac:dyDescent="0.3">
      <c r="A42" s="80" t="s">
        <v>13</v>
      </c>
      <c r="B42" s="78" t="s">
        <v>52</v>
      </c>
      <c r="C42" s="87"/>
    </row>
    <row r="43" spans="1:24" s="3" customFormat="1" ht="13" hidden="1" x14ac:dyDescent="0.3">
      <c r="A43" s="80" t="s">
        <v>15</v>
      </c>
      <c r="B43" s="78" t="s">
        <v>53</v>
      </c>
      <c r="C43" s="87"/>
    </row>
    <row r="44" spans="1:24" s="3" customFormat="1" ht="13" hidden="1" x14ac:dyDescent="0.3">
      <c r="A44" s="31"/>
      <c r="B44" s="78"/>
      <c r="C44" s="87"/>
      <c r="I44" s="88"/>
    </row>
    <row r="45" spans="1:24" s="3" customFormat="1" ht="13" hidden="1" x14ac:dyDescent="0.3">
      <c r="A45" s="81">
        <v>1</v>
      </c>
      <c r="B45" s="78"/>
      <c r="C45" s="85"/>
      <c r="D45" s="86"/>
      <c r="E45" s="86"/>
      <c r="F45" s="86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s="3" customFormat="1" ht="13" hidden="1" x14ac:dyDescent="0.3">
      <c r="A46" s="81">
        <v>2</v>
      </c>
      <c r="B46" s="78"/>
      <c r="C46" s="85"/>
      <c r="D46" s="86"/>
      <c r="E46" s="86"/>
      <c r="F46" s="86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s="3" customFormat="1" ht="13" hidden="1" x14ac:dyDescent="0.3">
      <c r="A47" s="81">
        <v>3</v>
      </c>
      <c r="B47" s="78"/>
      <c r="I47" s="4"/>
      <c r="J47" s="4"/>
      <c r="K47" s="4"/>
    </row>
    <row r="48" spans="1:24" s="3" customFormat="1" ht="13" hidden="1" x14ac:dyDescent="0.3">
      <c r="A48" s="81">
        <v>4</v>
      </c>
      <c r="B48" s="78"/>
    </row>
    <row r="49" spans="1:11" s="3" customFormat="1" ht="13" hidden="1" x14ac:dyDescent="0.3">
      <c r="A49" s="81">
        <v>5</v>
      </c>
      <c r="B49" s="78"/>
      <c r="K49" s="84"/>
    </row>
    <row r="50" spans="1:11" s="3" customFormat="1" ht="13" hidden="1" x14ac:dyDescent="0.3">
      <c r="A50" s="81">
        <v>6</v>
      </c>
      <c r="B50" s="78"/>
      <c r="K50" s="84"/>
    </row>
    <row r="51" spans="1:11" s="3" customFormat="1" ht="13" hidden="1" x14ac:dyDescent="0.3">
      <c r="A51" s="81">
        <v>7</v>
      </c>
      <c r="B51" s="82"/>
    </row>
    <row r="52" spans="1:11" s="3" customFormat="1" ht="13" hidden="1" x14ac:dyDescent="0.3">
      <c r="A52" s="81">
        <v>8</v>
      </c>
      <c r="B52" s="28"/>
    </row>
    <row r="53" spans="1:11" s="3" customFormat="1" ht="13" hidden="1" x14ac:dyDescent="0.3">
      <c r="A53" s="81">
        <v>9</v>
      </c>
      <c r="B53" s="28"/>
    </row>
    <row r="54" spans="1:11" ht="13" hidden="1" x14ac:dyDescent="0.3">
      <c r="A54" s="81">
        <v>10</v>
      </c>
      <c r="B54" s="28"/>
      <c r="C54" s="3"/>
      <c r="D54" s="3"/>
      <c r="E54" s="3"/>
      <c r="F54" s="3"/>
      <c r="G54" s="3"/>
      <c r="H54" s="3"/>
    </row>
    <row r="55" spans="1:11" ht="13" hidden="1" x14ac:dyDescent="0.3">
      <c r="A55" s="81">
        <v>11</v>
      </c>
      <c r="B55" s="28"/>
      <c r="C55" s="3"/>
      <c r="D55" s="3"/>
      <c r="E55" s="3"/>
      <c r="F55" s="3"/>
      <c r="G55" s="3"/>
      <c r="H55" s="3"/>
    </row>
    <row r="56" spans="1:11" ht="13.5" hidden="1" thickBot="1" x14ac:dyDescent="0.35">
      <c r="A56" s="83">
        <v>12</v>
      </c>
      <c r="B56" s="28"/>
      <c r="C56" s="3"/>
      <c r="D56" s="3"/>
      <c r="E56" s="3"/>
      <c r="F56" s="3"/>
      <c r="G56" s="3"/>
      <c r="H56" s="3"/>
    </row>
    <row r="57" spans="1:11" hidden="1" x14ac:dyDescent="0.25">
      <c r="A57" s="10"/>
      <c r="B57" s="28"/>
      <c r="C57" s="3"/>
      <c r="D57" s="3"/>
      <c r="E57" s="3"/>
      <c r="F57" s="3"/>
      <c r="G57" s="3"/>
      <c r="H57" s="3"/>
    </row>
    <row r="58" spans="1:11" hidden="1" x14ac:dyDescent="0.25">
      <c r="A58" s="10"/>
      <c r="B58" s="28"/>
      <c r="C58" s="3"/>
      <c r="D58" s="3"/>
      <c r="E58" s="3"/>
      <c r="F58" s="3"/>
      <c r="G58" s="3"/>
      <c r="H58" s="3"/>
    </row>
    <row r="59" spans="1:11" hidden="1" x14ac:dyDescent="0.25">
      <c r="B59" s="9"/>
      <c r="C59" s="258"/>
      <c r="D59" s="3"/>
      <c r="E59" s="3"/>
      <c r="F59" s="3"/>
      <c r="G59" s="3"/>
      <c r="H59" s="3"/>
    </row>
    <row r="60" spans="1:11" hidden="1" x14ac:dyDescent="0.25">
      <c r="B60" s="9"/>
      <c r="C60" s="3"/>
      <c r="D60" s="3"/>
      <c r="E60" s="3"/>
      <c r="F60" s="3"/>
      <c r="G60" s="3"/>
      <c r="H60" s="3"/>
    </row>
    <row r="61" spans="1:11" x14ac:dyDescent="0.25">
      <c r="B61" s="9"/>
      <c r="C61" s="3"/>
      <c r="D61" s="3"/>
      <c r="E61" s="3"/>
      <c r="F61" s="3"/>
      <c r="G61" s="3"/>
      <c r="H61" s="3"/>
    </row>
    <row r="62" spans="1:11" x14ac:dyDescent="0.25">
      <c r="B62" s="9"/>
      <c r="C62" s="3"/>
      <c r="D62" s="259"/>
      <c r="E62" s="3"/>
      <c r="F62" s="3"/>
      <c r="G62" s="3"/>
      <c r="H62" s="3"/>
    </row>
    <row r="63" spans="1:11" x14ac:dyDescent="0.25">
      <c r="C63" s="3"/>
      <c r="D63" s="258"/>
      <c r="E63" s="3"/>
      <c r="F63" s="3"/>
      <c r="G63" s="3"/>
      <c r="H63" s="3"/>
    </row>
    <row r="64" spans="1:11" x14ac:dyDescent="0.25">
      <c r="C64" s="3"/>
      <c r="D64" s="3"/>
      <c r="E64" s="3"/>
      <c r="F64" s="3"/>
      <c r="G64" s="3"/>
      <c r="H64" s="3"/>
    </row>
    <row r="65" spans="3:8" x14ac:dyDescent="0.25">
      <c r="C65" s="3"/>
      <c r="D65" s="3"/>
      <c r="E65" s="3"/>
      <c r="F65" s="3"/>
      <c r="G65" s="3"/>
      <c r="H65" s="3"/>
    </row>
    <row r="66" spans="3:8" x14ac:dyDescent="0.25">
      <c r="C66" s="3"/>
      <c r="D66" s="3"/>
      <c r="E66" s="3"/>
      <c r="F66" s="3"/>
      <c r="G66" s="3"/>
      <c r="H66" s="3"/>
    </row>
    <row r="67" spans="3:8" x14ac:dyDescent="0.25">
      <c r="C67" s="3"/>
      <c r="D67" s="3"/>
      <c r="E67" s="3"/>
      <c r="F67" s="3"/>
      <c r="G67" s="3"/>
      <c r="H67" s="3"/>
    </row>
    <row r="68" spans="3:8" x14ac:dyDescent="0.25">
      <c r="C68" s="3"/>
      <c r="D68" s="3"/>
      <c r="E68" s="3"/>
      <c r="F68" s="3"/>
      <c r="G68" s="3"/>
      <c r="H68" s="3"/>
    </row>
    <row r="69" spans="3:8" x14ac:dyDescent="0.25">
      <c r="C69" s="3"/>
      <c r="D69" s="3"/>
      <c r="E69" s="3"/>
      <c r="F69" s="3"/>
      <c r="G69" s="3"/>
      <c r="H69" s="3"/>
    </row>
    <row r="70" spans="3:8" x14ac:dyDescent="0.25">
      <c r="C70" s="3"/>
      <c r="D70" s="3"/>
      <c r="E70" s="3"/>
      <c r="F70" s="3"/>
      <c r="G70" s="3"/>
      <c r="H70" s="3"/>
    </row>
    <row r="71" spans="3:8" x14ac:dyDescent="0.25">
      <c r="C71" s="3"/>
      <c r="D71" s="3"/>
      <c r="E71" s="3"/>
      <c r="F71" s="3"/>
      <c r="G71" s="3"/>
      <c r="H71" s="3"/>
    </row>
    <row r="72" spans="3:8" x14ac:dyDescent="0.25">
      <c r="C72" s="3"/>
      <c r="D72" s="3"/>
      <c r="E72" s="3"/>
      <c r="F72" s="3"/>
      <c r="G72" s="3"/>
      <c r="H72" s="3"/>
    </row>
    <row r="73" spans="3:8" x14ac:dyDescent="0.25">
      <c r="C73" s="3"/>
      <c r="D73" s="3"/>
      <c r="E73" s="3"/>
      <c r="F73" s="3"/>
      <c r="G73" s="3"/>
      <c r="H73" s="3"/>
    </row>
    <row r="74" spans="3:8" x14ac:dyDescent="0.25">
      <c r="C74" s="3"/>
      <c r="D74" s="3"/>
      <c r="E74" s="3"/>
      <c r="F74" s="3"/>
      <c r="G74" s="3"/>
      <c r="H74" s="3"/>
    </row>
    <row r="75" spans="3:8" x14ac:dyDescent="0.25">
      <c r="C75" s="3"/>
      <c r="D75" s="3"/>
      <c r="E75" s="3"/>
      <c r="F75" s="3"/>
      <c r="G75" s="3"/>
      <c r="H75" s="3"/>
    </row>
    <row r="76" spans="3:8" x14ac:dyDescent="0.25">
      <c r="C76" s="3"/>
      <c r="D76" s="3"/>
      <c r="E76" s="3"/>
      <c r="F76" s="3"/>
      <c r="G76" s="3"/>
      <c r="H76" s="3"/>
    </row>
    <row r="77" spans="3:8" x14ac:dyDescent="0.25">
      <c r="C77" s="3"/>
      <c r="D77" s="3"/>
      <c r="E77" s="3"/>
      <c r="F77" s="3"/>
      <c r="G77" s="3"/>
      <c r="H77" s="3"/>
    </row>
    <row r="78" spans="3:8" x14ac:dyDescent="0.25">
      <c r="C78" s="3"/>
      <c r="D78" s="3"/>
      <c r="E78" s="3"/>
      <c r="F78" s="3"/>
      <c r="G78" s="3"/>
      <c r="H78" s="3"/>
    </row>
    <row r="79" spans="3:8" x14ac:dyDescent="0.25">
      <c r="C79" s="3"/>
      <c r="D79" s="3"/>
      <c r="E79" s="3"/>
      <c r="F79" s="3"/>
      <c r="G79" s="3"/>
      <c r="H79" s="3"/>
    </row>
    <row r="80" spans="3:8" x14ac:dyDescent="0.25">
      <c r="C80" s="3"/>
      <c r="D80" s="3"/>
      <c r="E80" s="3"/>
      <c r="F80" s="3"/>
      <c r="G80" s="3"/>
      <c r="H80" s="3"/>
    </row>
    <row r="81" spans="3:8" x14ac:dyDescent="0.25">
      <c r="C81" s="3"/>
      <c r="D81" s="3"/>
      <c r="E81" s="3"/>
      <c r="F81" s="3"/>
      <c r="G81" s="3"/>
      <c r="H81" s="3"/>
    </row>
    <row r="82" spans="3:8" x14ac:dyDescent="0.25">
      <c r="C82" s="3"/>
      <c r="D82" s="3"/>
      <c r="E82" s="3"/>
      <c r="F82" s="3"/>
      <c r="G82" s="3"/>
      <c r="H82" s="3"/>
    </row>
    <row r="83" spans="3:8" x14ac:dyDescent="0.25">
      <c r="C83" s="3"/>
      <c r="D83" s="3"/>
      <c r="E83" s="3"/>
      <c r="F83" s="3"/>
      <c r="G83" s="3"/>
      <c r="H83" s="3"/>
    </row>
    <row r="84" spans="3:8" x14ac:dyDescent="0.25">
      <c r="C84" s="3"/>
      <c r="D84" s="3"/>
      <c r="E84" s="3"/>
      <c r="F84" s="3"/>
      <c r="G84" s="3"/>
    </row>
    <row r="85" spans="3:8" x14ac:dyDescent="0.25">
      <c r="C85" s="3"/>
      <c r="D85" s="3"/>
      <c r="E85" s="3"/>
      <c r="F85" s="3"/>
      <c r="G85" s="3"/>
    </row>
    <row r="86" spans="3:8" x14ac:dyDescent="0.25">
      <c r="C86" s="3"/>
      <c r="D86" s="3"/>
      <c r="E86" s="3"/>
      <c r="F86" s="3"/>
      <c r="G86" s="3"/>
    </row>
  </sheetData>
  <sheetProtection algorithmName="SHA-512" hashValue="kz7pwxwVrxWjJOnofd5A2vVBTOHPqM4H1u/jDdIUzXuhmjBL/HgseSXkLX3g2Ld38mRpm06PGslQzywLpHc+BQ==" saltValue="qgEW0E2voOEPsljxdhXHhA==" spinCount="100000" sheet="1" selectLockedCells="1"/>
  <mergeCells count="8">
    <mergeCell ref="B3:B4"/>
    <mergeCell ref="J2:U2"/>
    <mergeCell ref="C3:C4"/>
    <mergeCell ref="D3:D4"/>
    <mergeCell ref="G3:G4"/>
    <mergeCell ref="B2:G2"/>
    <mergeCell ref="E3:E4"/>
    <mergeCell ref="F3:F4"/>
  </mergeCells>
  <phoneticPr fontId="5" type="noConversion"/>
  <dataValidations count="4">
    <dataValidation type="list" allowBlank="1" showInputMessage="1" showErrorMessage="1" sqref="C10 G10">
      <formula1>$A$42:$A$43</formula1>
    </dataValidation>
    <dataValidation type="list" allowBlank="1" showInputMessage="1" showErrorMessage="1" sqref="C9:D9">
      <formula1>$B$42:$B$43</formula1>
    </dataValidation>
    <dataValidation type="list" allowBlank="1" showInputMessage="1" showErrorMessage="1" sqref="D10">
      <formula1>$A$38:$A$40</formula1>
    </dataValidation>
    <dataValidation type="list" allowBlank="1" showInputMessage="1" showErrorMessage="1" sqref="C11:E11 G11">
      <formula1>$A$45:$A$56</formula1>
    </dataValidation>
  </dataValidations>
  <pageMargins left="0.75" right="0.75" top="1" bottom="1" header="0.5" footer="0.5"/>
  <pageSetup paperSize="5" scale="6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91"/>
  <sheetViews>
    <sheetView workbookViewId="0">
      <pane ySplit="5" topLeftCell="A63" activePane="bottomLeft" state="frozen"/>
      <selection pane="bottomLeft" activeCell="A97" sqref="A97"/>
    </sheetView>
  </sheetViews>
  <sheetFormatPr defaultColWidth="9.1796875" defaultRowHeight="12.5" x14ac:dyDescent="0.25"/>
  <cols>
    <col min="1" max="1" width="34" style="243" customWidth="1"/>
    <col min="2" max="2" width="14.54296875" style="243" customWidth="1"/>
    <col min="3" max="3" width="12.81640625" style="243" customWidth="1"/>
    <col min="4" max="4" width="14.54296875" style="243" customWidth="1"/>
    <col min="5" max="8" width="15" style="243" customWidth="1"/>
    <col min="9" max="9" width="3.81640625" style="243" customWidth="1"/>
    <col min="10" max="10" width="11.54296875" style="243" customWidth="1"/>
    <col min="11" max="11" width="11.7265625" style="243" customWidth="1"/>
    <col min="12" max="12" width="12.7265625" style="243" customWidth="1"/>
    <col min="13" max="13" width="9.1796875" style="243"/>
    <col min="14" max="14" width="16" style="243" customWidth="1"/>
    <col min="15" max="21" width="9.1796875" style="243"/>
    <col min="22" max="16384" width="9.1796875" style="89"/>
  </cols>
  <sheetData>
    <row r="1" spans="1:21" ht="13" x14ac:dyDescent="0.3">
      <c r="A1" s="91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3" x14ac:dyDescent="0.3">
      <c r="A2" s="91" t="s">
        <v>1</v>
      </c>
      <c r="B2" s="91"/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3" x14ac:dyDescent="0.3">
      <c r="A3" s="91" t="s">
        <v>20</v>
      </c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3" x14ac:dyDescent="0.3">
      <c r="A4" s="91" t="s">
        <v>115</v>
      </c>
      <c r="B4" s="91"/>
      <c r="C4" s="92" t="s">
        <v>57</v>
      </c>
      <c r="D4" s="92" t="s">
        <v>26</v>
      </c>
      <c r="E4" s="92" t="s">
        <v>27</v>
      </c>
      <c r="F4" s="92" t="s">
        <v>94</v>
      </c>
      <c r="G4" s="92" t="s">
        <v>96</v>
      </c>
      <c r="H4" s="92" t="s">
        <v>43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3.5" thickBot="1" x14ac:dyDescent="0.35">
      <c r="A5" s="90"/>
      <c r="B5" s="90"/>
      <c r="C5" s="93" t="s">
        <v>116</v>
      </c>
      <c r="D5" s="93" t="s">
        <v>116</v>
      </c>
      <c r="E5" s="93" t="s">
        <v>116</v>
      </c>
      <c r="F5" s="93" t="s">
        <v>116</v>
      </c>
      <c r="G5" s="93" t="s">
        <v>116</v>
      </c>
      <c r="H5" s="93" t="s">
        <v>116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3.5" thickBot="1" x14ac:dyDescent="0.35">
      <c r="A6" s="244" t="s">
        <v>2</v>
      </c>
      <c r="B6" s="94"/>
      <c r="C6" s="94"/>
      <c r="D6" s="95"/>
      <c r="E6" s="94"/>
      <c r="F6" s="94"/>
      <c r="G6" s="94"/>
      <c r="H6" s="96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13" x14ac:dyDescent="0.3">
      <c r="A7" s="245"/>
      <c r="B7" s="97"/>
      <c r="C7" s="97"/>
      <c r="D7" s="98"/>
      <c r="E7" s="97"/>
      <c r="F7" s="97"/>
      <c r="G7" s="97"/>
      <c r="H7" s="9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13" x14ac:dyDescent="0.3">
      <c r="A8" s="246" t="s">
        <v>24</v>
      </c>
      <c r="B8" s="97" t="s">
        <v>21</v>
      </c>
      <c r="C8" s="98">
        <v>64900</v>
      </c>
      <c r="D8" s="100"/>
      <c r="E8" s="101"/>
      <c r="F8" s="101"/>
      <c r="G8" s="101"/>
      <c r="H8" s="102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13" x14ac:dyDescent="0.3">
      <c r="A9" s="246" t="s">
        <v>23</v>
      </c>
      <c r="B9" s="97"/>
      <c r="C9" s="98">
        <v>3500</v>
      </c>
      <c r="D9" s="103"/>
      <c r="E9" s="98"/>
      <c r="F9" s="98"/>
      <c r="G9" s="98"/>
      <c r="H9" s="104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13" x14ac:dyDescent="0.3">
      <c r="A10" s="246" t="s">
        <v>3</v>
      </c>
      <c r="B10" s="97"/>
      <c r="C10" s="105">
        <v>5.7000000000000002E-2</v>
      </c>
      <c r="D10" s="106"/>
      <c r="E10" s="105"/>
      <c r="F10" s="105"/>
      <c r="G10" s="105"/>
      <c r="H10" s="10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x14ac:dyDescent="0.25">
      <c r="A11" s="247"/>
      <c r="B11" s="97"/>
      <c r="C11" s="98"/>
      <c r="D11" s="103"/>
      <c r="E11" s="98"/>
      <c r="F11" s="98"/>
      <c r="G11" s="98"/>
      <c r="H11" s="104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3" x14ac:dyDescent="0.3">
      <c r="A12" s="246" t="s">
        <v>4</v>
      </c>
      <c r="B12" s="97"/>
      <c r="C12" s="108">
        <f>(C8-C9)*C10</f>
        <v>3499.8</v>
      </c>
      <c r="D12" s="109"/>
      <c r="E12" s="108"/>
      <c r="F12" s="108"/>
      <c r="G12" s="108"/>
      <c r="H12" s="11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3" x14ac:dyDescent="0.3">
      <c r="A13" s="246" t="s">
        <v>5</v>
      </c>
      <c r="B13" s="97"/>
      <c r="C13" s="108">
        <f>(C8-C9)*C10</f>
        <v>3499.8</v>
      </c>
      <c r="D13" s="111"/>
      <c r="E13" s="112"/>
      <c r="F13" s="112"/>
      <c r="G13" s="112"/>
      <c r="H13" s="113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13" thickBot="1" x14ac:dyDescent="0.3">
      <c r="A14" s="248"/>
      <c r="B14" s="114"/>
      <c r="C14" s="115"/>
      <c r="D14" s="115"/>
      <c r="E14" s="114"/>
      <c r="F14" s="114"/>
      <c r="G14" s="114"/>
      <c r="H14" s="116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3.5" thickBot="1" x14ac:dyDescent="0.35">
      <c r="A15" s="244" t="s">
        <v>6</v>
      </c>
      <c r="B15" s="94"/>
      <c r="C15" s="94"/>
      <c r="D15" s="94"/>
      <c r="E15" s="94"/>
      <c r="F15" s="94"/>
      <c r="G15" s="94"/>
      <c r="H15" s="96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13" x14ac:dyDescent="0.3">
      <c r="A16" s="245"/>
      <c r="B16" s="97"/>
      <c r="C16" s="97"/>
      <c r="D16" s="97"/>
      <c r="E16" s="97"/>
      <c r="F16" s="97"/>
      <c r="G16" s="97"/>
      <c r="H16" s="9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13" x14ac:dyDescent="0.3">
      <c r="A17" s="246" t="s">
        <v>7</v>
      </c>
      <c r="B17" s="97"/>
      <c r="C17" s="98">
        <v>60300</v>
      </c>
      <c r="D17" s="100"/>
      <c r="E17" s="101"/>
      <c r="F17" s="101"/>
      <c r="G17" s="101"/>
      <c r="H17" s="10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ht="13" x14ac:dyDescent="0.3">
      <c r="A18" s="246" t="s">
        <v>8</v>
      </c>
      <c r="B18" s="97">
        <v>100</v>
      </c>
      <c r="C18" s="117">
        <v>1.58</v>
      </c>
      <c r="D18" s="118"/>
      <c r="E18" s="117"/>
      <c r="F18" s="117"/>
      <c r="G18" s="117"/>
      <c r="H18" s="11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13" x14ac:dyDescent="0.3">
      <c r="A19" s="246" t="s">
        <v>9</v>
      </c>
      <c r="B19" s="97">
        <v>100</v>
      </c>
      <c r="C19" s="120">
        <f>C18*1.172</f>
        <v>1.8517600000000001</v>
      </c>
      <c r="D19" s="121"/>
      <c r="E19" s="120"/>
      <c r="F19" s="120"/>
      <c r="G19" s="120"/>
      <c r="H19" s="12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x14ac:dyDescent="0.25">
      <c r="A20" s="247"/>
      <c r="B20" s="97"/>
      <c r="C20" s="97"/>
      <c r="D20" s="123"/>
      <c r="E20" s="97"/>
      <c r="F20" s="97"/>
      <c r="G20" s="97"/>
      <c r="H20" s="9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13" x14ac:dyDescent="0.3">
      <c r="A21" s="246" t="s">
        <v>4</v>
      </c>
      <c r="B21" s="97"/>
      <c r="C21" s="124">
        <f>C17*C18/B18</f>
        <v>952.74</v>
      </c>
      <c r="D21" s="125"/>
      <c r="E21" s="124"/>
      <c r="F21" s="124"/>
      <c r="G21" s="124"/>
      <c r="H21" s="126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13" x14ac:dyDescent="0.3">
      <c r="A22" s="246" t="s">
        <v>5</v>
      </c>
      <c r="B22" s="97"/>
      <c r="C22" s="124">
        <f>C17*C19/B19</f>
        <v>1116.6112800000001</v>
      </c>
      <c r="D22" s="127"/>
      <c r="E22" s="128"/>
      <c r="F22" s="128"/>
      <c r="G22" s="128"/>
      <c r="H22" s="12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13" thickBot="1" x14ac:dyDescent="0.3">
      <c r="A23" s="248"/>
      <c r="B23" s="114"/>
      <c r="C23" s="114"/>
      <c r="D23" s="114"/>
      <c r="E23" s="114"/>
      <c r="F23" s="114"/>
      <c r="G23" s="114"/>
      <c r="H23" s="116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3.5" thickBot="1" x14ac:dyDescent="0.35">
      <c r="A24" s="244" t="s">
        <v>60</v>
      </c>
      <c r="B24" s="130"/>
      <c r="C24" s="130"/>
      <c r="D24" s="94"/>
      <c r="E24" s="94"/>
      <c r="F24" s="94"/>
      <c r="G24" s="94"/>
      <c r="H24" s="96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x14ac:dyDescent="0.25">
      <c r="A25" s="247"/>
      <c r="B25" s="131"/>
      <c r="C25" s="131"/>
      <c r="D25" s="97"/>
      <c r="E25" s="97"/>
      <c r="F25" s="97"/>
      <c r="G25" s="97"/>
      <c r="H25" s="9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3" x14ac:dyDescent="0.3">
      <c r="A26" s="249" t="s">
        <v>18</v>
      </c>
      <c r="B26" s="132" t="s">
        <v>44</v>
      </c>
      <c r="C26" s="133">
        <v>0.3</v>
      </c>
      <c r="D26" s="133"/>
      <c r="E26" s="133"/>
      <c r="F26" s="133"/>
      <c r="G26" s="133"/>
      <c r="H26" s="13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13" x14ac:dyDescent="0.3">
      <c r="A27" s="250" t="s">
        <v>19</v>
      </c>
      <c r="B27" s="135">
        <v>100</v>
      </c>
      <c r="C27" s="136">
        <v>0.33</v>
      </c>
      <c r="D27" s="136"/>
      <c r="E27" s="136"/>
      <c r="F27" s="136"/>
      <c r="G27" s="136"/>
      <c r="H27" s="137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ht="13" x14ac:dyDescent="0.3">
      <c r="A28" s="246"/>
      <c r="B28" s="131"/>
      <c r="C28" s="131"/>
      <c r="D28" s="97"/>
      <c r="E28" s="97"/>
      <c r="F28" s="97"/>
      <c r="G28" s="97"/>
      <c r="H28" s="9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13" x14ac:dyDescent="0.3">
      <c r="A29" s="246" t="s">
        <v>61</v>
      </c>
      <c r="B29" s="97" t="s">
        <v>45</v>
      </c>
      <c r="C29" s="97"/>
      <c r="D29" s="138"/>
      <c r="E29" s="138"/>
      <c r="F29" s="138"/>
      <c r="G29" s="138"/>
      <c r="H29" s="13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x14ac:dyDescent="0.25">
      <c r="A30" s="247"/>
      <c r="B30" s="97" t="s">
        <v>46</v>
      </c>
      <c r="C30" s="97"/>
      <c r="D30" s="97"/>
      <c r="E30" s="97"/>
      <c r="F30" s="97"/>
      <c r="G30" s="97"/>
      <c r="H30" s="9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13" thickBot="1" x14ac:dyDescent="0.3">
      <c r="A31" s="248"/>
      <c r="B31" s="114"/>
      <c r="C31" s="114"/>
      <c r="D31" s="114"/>
      <c r="E31" s="114"/>
      <c r="F31" s="114"/>
      <c r="G31" s="114"/>
      <c r="H31" s="116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13.5" thickBot="1" x14ac:dyDescent="0.35">
      <c r="A32" s="244" t="s">
        <v>10</v>
      </c>
      <c r="B32" s="94"/>
      <c r="C32" s="94"/>
      <c r="D32" s="140"/>
      <c r="E32" s="141"/>
      <c r="F32" s="141"/>
      <c r="G32" s="141"/>
      <c r="H32" s="14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x14ac:dyDescent="0.25">
      <c r="A33" s="247"/>
      <c r="B33" s="97"/>
      <c r="C33" s="97"/>
      <c r="D33" s="97"/>
      <c r="E33" s="97"/>
      <c r="F33" s="97"/>
      <c r="G33" s="97"/>
      <c r="H33" s="9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13" x14ac:dyDescent="0.3">
      <c r="A34" s="246" t="s">
        <v>24</v>
      </c>
      <c r="B34" s="97"/>
      <c r="C34" s="143"/>
      <c r="D34" s="98">
        <f>C8</f>
        <v>64900</v>
      </c>
      <c r="E34" s="98">
        <f>C8</f>
        <v>64900</v>
      </c>
      <c r="F34" s="144"/>
      <c r="G34" s="144"/>
      <c r="H34" s="145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13" x14ac:dyDescent="0.3">
      <c r="A35" s="246" t="s">
        <v>28</v>
      </c>
      <c r="B35" s="97"/>
      <c r="C35" s="146"/>
      <c r="D35" s="147">
        <v>190470</v>
      </c>
      <c r="E35" s="148">
        <v>180757.78</v>
      </c>
      <c r="F35" s="149"/>
      <c r="G35" s="149"/>
      <c r="H35" s="15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13" x14ac:dyDescent="0.3">
      <c r="A36" s="246" t="s">
        <v>11</v>
      </c>
      <c r="B36" s="97"/>
      <c r="C36" s="146"/>
      <c r="D36" s="151">
        <v>9.6000000000000002E-2</v>
      </c>
      <c r="E36" s="151">
        <v>0.1237</v>
      </c>
      <c r="F36" s="152"/>
      <c r="G36" s="152"/>
      <c r="H36" s="153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13" x14ac:dyDescent="0.3">
      <c r="A37" s="246" t="s">
        <v>12</v>
      </c>
      <c r="B37" s="97"/>
      <c r="C37" s="146"/>
      <c r="D37" s="105">
        <v>0.13700000000000001</v>
      </c>
      <c r="E37" s="105">
        <v>0.16320000000000001</v>
      </c>
      <c r="F37" s="154"/>
      <c r="G37" s="154"/>
      <c r="H37" s="155"/>
      <c r="I37" s="90"/>
      <c r="J37" s="90"/>
      <c r="K37" s="97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13" x14ac:dyDescent="0.3">
      <c r="A38" s="246" t="s">
        <v>29</v>
      </c>
      <c r="B38" s="97"/>
      <c r="C38" s="146"/>
      <c r="D38" s="105">
        <v>0</v>
      </c>
      <c r="E38" s="156">
        <v>1.52E-2</v>
      </c>
      <c r="F38" s="157"/>
      <c r="G38" s="157"/>
      <c r="H38" s="158"/>
      <c r="I38" s="90"/>
      <c r="J38" s="90"/>
      <c r="K38" s="159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13" x14ac:dyDescent="0.3">
      <c r="A39" s="246" t="s">
        <v>56</v>
      </c>
      <c r="B39" s="97"/>
      <c r="C39" s="160"/>
      <c r="D39" s="147">
        <f>D34*D36+(D35-D34)*D37</f>
        <v>23433.49</v>
      </c>
      <c r="E39" s="161"/>
      <c r="F39" s="162"/>
      <c r="G39" s="162"/>
      <c r="H39" s="163"/>
      <c r="I39" s="90"/>
      <c r="J39" s="90"/>
      <c r="K39" s="164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3.5" thickBot="1" x14ac:dyDescent="0.35">
      <c r="A40" s="251"/>
      <c r="B40" s="114"/>
      <c r="C40" s="114"/>
      <c r="D40" s="165"/>
      <c r="E40" s="166"/>
      <c r="F40" s="166"/>
      <c r="G40" s="166"/>
      <c r="H40" s="167"/>
      <c r="I40" s="90"/>
      <c r="J40" s="90"/>
      <c r="K40" s="164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3.5" thickBot="1" x14ac:dyDescent="0.35">
      <c r="A41" s="244" t="s">
        <v>59</v>
      </c>
      <c r="B41" s="94"/>
      <c r="C41" s="94"/>
      <c r="D41" s="94"/>
      <c r="E41" s="94"/>
      <c r="F41" s="94"/>
      <c r="G41" s="94"/>
      <c r="H41" s="96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ht="13" x14ac:dyDescent="0.3">
      <c r="A42" s="247"/>
      <c r="B42" s="97"/>
      <c r="C42" s="97"/>
      <c r="D42" s="97"/>
      <c r="E42" s="97"/>
      <c r="F42" s="97"/>
      <c r="G42" s="97"/>
      <c r="H42" s="168" t="s">
        <v>89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ht="13" x14ac:dyDescent="0.3">
      <c r="A43" s="249" t="s">
        <v>31</v>
      </c>
      <c r="B43" s="169" t="s">
        <v>13</v>
      </c>
      <c r="C43" s="170"/>
      <c r="D43" s="171">
        <v>68.040000000000006</v>
      </c>
      <c r="E43" s="143"/>
      <c r="F43" s="172" t="s">
        <v>111</v>
      </c>
      <c r="G43" s="173"/>
      <c r="H43" s="174">
        <v>66.290000000000006</v>
      </c>
      <c r="I43" s="90"/>
      <c r="J43" s="175" t="s">
        <v>32</v>
      </c>
      <c r="K43" s="176"/>
      <c r="L43" s="177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13" x14ac:dyDescent="0.3">
      <c r="A44" s="250" t="s">
        <v>31</v>
      </c>
      <c r="B44" s="178" t="s">
        <v>15</v>
      </c>
      <c r="C44" s="179"/>
      <c r="D44" s="180">
        <v>170.06</v>
      </c>
      <c r="E44" s="160"/>
      <c r="F44" s="181" t="s">
        <v>111</v>
      </c>
      <c r="G44" s="182"/>
      <c r="H44" s="183">
        <v>130.15</v>
      </c>
      <c r="I44" s="90"/>
      <c r="J44" s="184" t="s">
        <v>33</v>
      </c>
      <c r="K44" s="185" t="s">
        <v>34</v>
      </c>
      <c r="L44" s="186" t="s">
        <v>35</v>
      </c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13" x14ac:dyDescent="0.3">
      <c r="A45" s="249" t="s">
        <v>36</v>
      </c>
      <c r="B45" s="169" t="s">
        <v>13</v>
      </c>
      <c r="C45" s="170"/>
      <c r="D45" s="171">
        <v>54.44</v>
      </c>
      <c r="E45" s="187"/>
      <c r="F45" s="172" t="s">
        <v>111</v>
      </c>
      <c r="G45" s="188"/>
      <c r="H45" s="174"/>
      <c r="I45" s="90"/>
      <c r="J45" s="189">
        <v>0.8</v>
      </c>
      <c r="K45" s="190">
        <v>1</v>
      </c>
      <c r="L45" s="191">
        <v>1</v>
      </c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13" x14ac:dyDescent="0.3">
      <c r="A46" s="250" t="s">
        <v>36</v>
      </c>
      <c r="B46" s="178" t="s">
        <v>15</v>
      </c>
      <c r="C46" s="179"/>
      <c r="D46" s="180">
        <v>136.06</v>
      </c>
      <c r="E46" s="192"/>
      <c r="F46" s="181" t="s">
        <v>111</v>
      </c>
      <c r="G46" s="193"/>
      <c r="H46" s="194"/>
      <c r="I46" s="90"/>
      <c r="J46" s="189">
        <v>0.6</v>
      </c>
      <c r="K46" s="185">
        <v>0.79</v>
      </c>
      <c r="L46" s="191">
        <v>0.8</v>
      </c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13" x14ac:dyDescent="0.3">
      <c r="A47" s="249" t="s">
        <v>37</v>
      </c>
      <c r="B47" s="169" t="s">
        <v>13</v>
      </c>
      <c r="C47" s="170"/>
      <c r="D47" s="171">
        <v>40.82</v>
      </c>
      <c r="E47" s="187"/>
      <c r="F47" s="172" t="s">
        <v>111</v>
      </c>
      <c r="G47" s="188"/>
      <c r="H47" s="174"/>
      <c r="I47" s="90"/>
      <c r="J47" s="189">
        <v>0.4</v>
      </c>
      <c r="K47" s="185">
        <v>0.59</v>
      </c>
      <c r="L47" s="191">
        <v>0.6</v>
      </c>
      <c r="M47" s="90"/>
      <c r="N47" s="90"/>
      <c r="O47" s="90"/>
      <c r="P47" s="90"/>
      <c r="Q47" s="90"/>
      <c r="R47" s="90"/>
      <c r="S47" s="90"/>
      <c r="T47" s="90"/>
      <c r="U47" s="90"/>
    </row>
    <row r="48" spans="1:21" ht="13" x14ac:dyDescent="0.3">
      <c r="A48" s="250" t="s">
        <v>37</v>
      </c>
      <c r="B48" s="178" t="s">
        <v>15</v>
      </c>
      <c r="C48" s="179"/>
      <c r="D48" s="180">
        <v>102.04</v>
      </c>
      <c r="E48" s="192"/>
      <c r="F48" s="181" t="s">
        <v>111</v>
      </c>
      <c r="G48" s="193"/>
      <c r="H48" s="194"/>
      <c r="I48" s="90"/>
      <c r="J48" s="195">
        <v>0</v>
      </c>
      <c r="K48" s="196">
        <v>0.39</v>
      </c>
      <c r="L48" s="197">
        <v>0</v>
      </c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13" thickBot="1" x14ac:dyDescent="0.3">
      <c r="A49" s="248"/>
      <c r="B49" s="198"/>
      <c r="C49" s="198"/>
      <c r="D49" s="114"/>
      <c r="E49" s="114"/>
      <c r="F49" s="114"/>
      <c r="G49" s="114"/>
      <c r="H49" s="116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3.5" thickBot="1" x14ac:dyDescent="0.35">
      <c r="A50" s="244" t="s">
        <v>58</v>
      </c>
      <c r="B50" s="130"/>
      <c r="C50" s="130"/>
      <c r="D50" s="94"/>
      <c r="E50" s="94"/>
      <c r="F50" s="94"/>
      <c r="G50" s="94"/>
      <c r="H50" s="96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13" x14ac:dyDescent="0.3">
      <c r="A51" s="247"/>
      <c r="B51" s="131"/>
      <c r="C51" s="131"/>
      <c r="D51" s="97"/>
      <c r="E51" s="97"/>
      <c r="F51" s="97"/>
      <c r="G51" s="97"/>
      <c r="H51" s="99"/>
      <c r="I51" s="90"/>
      <c r="J51" s="91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13" x14ac:dyDescent="0.3">
      <c r="A52" s="249" t="s">
        <v>14</v>
      </c>
      <c r="B52" s="169" t="s">
        <v>13</v>
      </c>
      <c r="C52" s="169"/>
      <c r="D52" s="171">
        <v>42.92</v>
      </c>
      <c r="E52" s="187"/>
      <c r="F52" s="199" t="s">
        <v>111</v>
      </c>
      <c r="G52" s="188"/>
      <c r="H52" s="174">
        <v>42.6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13" x14ac:dyDescent="0.3">
      <c r="A53" s="246" t="s">
        <v>14</v>
      </c>
      <c r="B53" s="200" t="s">
        <v>15</v>
      </c>
      <c r="C53" s="200"/>
      <c r="D53" s="201">
        <v>106.16</v>
      </c>
      <c r="E53" s="202"/>
      <c r="F53" s="203" t="s">
        <v>111</v>
      </c>
      <c r="G53" s="204"/>
      <c r="H53" s="205">
        <v>68.87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3" x14ac:dyDescent="0.3">
      <c r="A54" s="250" t="s">
        <v>14</v>
      </c>
      <c r="B54" s="178" t="s">
        <v>30</v>
      </c>
      <c r="C54" s="178"/>
      <c r="D54" s="136"/>
      <c r="E54" s="192"/>
      <c r="F54" s="206" t="s">
        <v>111</v>
      </c>
      <c r="G54" s="193"/>
      <c r="H54" s="194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3" x14ac:dyDescent="0.3">
      <c r="A55" s="249" t="s">
        <v>36</v>
      </c>
      <c r="B55" s="169" t="s">
        <v>13</v>
      </c>
      <c r="C55" s="169"/>
      <c r="D55" s="171">
        <v>34.340000000000003</v>
      </c>
      <c r="E55" s="187"/>
      <c r="F55" s="199" t="s">
        <v>111</v>
      </c>
      <c r="G55" s="188"/>
      <c r="H55" s="174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13" x14ac:dyDescent="0.3">
      <c r="A56" s="246" t="s">
        <v>36</v>
      </c>
      <c r="B56" s="200" t="s">
        <v>15</v>
      </c>
      <c r="C56" s="200"/>
      <c r="D56" s="201">
        <v>84.94</v>
      </c>
      <c r="E56" s="202"/>
      <c r="F56" s="203" t="s">
        <v>111</v>
      </c>
      <c r="G56" s="204"/>
      <c r="H56" s="205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3" x14ac:dyDescent="0.3">
      <c r="A57" s="250" t="s">
        <v>36</v>
      </c>
      <c r="B57" s="178" t="s">
        <v>30</v>
      </c>
      <c r="C57" s="178"/>
      <c r="D57" s="180"/>
      <c r="E57" s="192"/>
      <c r="F57" s="206" t="s">
        <v>111</v>
      </c>
      <c r="G57" s="193"/>
      <c r="H57" s="194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3" x14ac:dyDescent="0.3">
      <c r="A58" s="249" t="s">
        <v>37</v>
      </c>
      <c r="B58" s="169" t="s">
        <v>13</v>
      </c>
      <c r="C58" s="169"/>
      <c r="D58" s="171">
        <v>25.76</v>
      </c>
      <c r="E58" s="187"/>
      <c r="F58" s="199" t="s">
        <v>111</v>
      </c>
      <c r="G58" s="188"/>
      <c r="H58" s="174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3" x14ac:dyDescent="0.3">
      <c r="A59" s="246" t="s">
        <v>37</v>
      </c>
      <c r="B59" s="200" t="s">
        <v>15</v>
      </c>
      <c r="C59" s="200"/>
      <c r="D59" s="201">
        <v>63.7</v>
      </c>
      <c r="E59" s="202"/>
      <c r="F59" s="203" t="s">
        <v>111</v>
      </c>
      <c r="G59" s="204"/>
      <c r="H59" s="205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3" x14ac:dyDescent="0.3">
      <c r="A60" s="250" t="s">
        <v>37</v>
      </c>
      <c r="B60" s="178" t="s">
        <v>30</v>
      </c>
      <c r="C60" s="178"/>
      <c r="D60" s="136"/>
      <c r="E60" s="192"/>
      <c r="F60" s="206" t="s">
        <v>111</v>
      </c>
      <c r="G60" s="193"/>
      <c r="H60" s="194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ht="13" thickBot="1" x14ac:dyDescent="0.3">
      <c r="A61" s="248"/>
      <c r="B61" s="198"/>
      <c r="C61" s="198"/>
      <c r="D61" s="114"/>
      <c r="E61" s="114"/>
      <c r="F61" s="114"/>
      <c r="G61" s="114"/>
      <c r="H61" s="116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13.5" thickBot="1" x14ac:dyDescent="0.35">
      <c r="A62" s="244" t="s">
        <v>62</v>
      </c>
      <c r="B62" s="130"/>
      <c r="C62" s="130"/>
      <c r="D62" s="94"/>
      <c r="E62" s="94"/>
      <c r="F62" s="94"/>
      <c r="G62" s="94"/>
      <c r="H62" s="96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3" x14ac:dyDescent="0.3">
      <c r="A63" s="247"/>
      <c r="B63" s="131"/>
      <c r="C63" s="131"/>
      <c r="D63" s="97"/>
      <c r="E63" s="97"/>
      <c r="F63" s="97"/>
      <c r="G63" s="97"/>
      <c r="H63" s="99"/>
      <c r="I63" s="90"/>
      <c r="J63" s="91" t="s">
        <v>21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3" x14ac:dyDescent="0.3">
      <c r="A64" s="249" t="s">
        <v>14</v>
      </c>
      <c r="B64" s="169" t="s">
        <v>13</v>
      </c>
      <c r="C64" s="207"/>
      <c r="D64" s="208"/>
      <c r="E64" s="208">
        <v>203.33</v>
      </c>
      <c r="F64" s="171"/>
      <c r="G64" s="171"/>
      <c r="H64" s="174"/>
      <c r="I64" s="90"/>
      <c r="J64" s="209">
        <v>2440</v>
      </c>
      <c r="K64" s="91" t="s">
        <v>13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ht="13" x14ac:dyDescent="0.3">
      <c r="A65" s="246" t="s">
        <v>14</v>
      </c>
      <c r="B65" s="200" t="s">
        <v>15</v>
      </c>
      <c r="C65" s="210"/>
      <c r="D65" s="211"/>
      <c r="E65" s="211">
        <v>392.71</v>
      </c>
      <c r="F65" s="201"/>
      <c r="G65" s="201"/>
      <c r="H65" s="205"/>
      <c r="I65" s="90"/>
      <c r="J65" s="209">
        <v>4266</v>
      </c>
      <c r="K65" s="91" t="s">
        <v>30</v>
      </c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ht="13" x14ac:dyDescent="0.3">
      <c r="A66" s="250" t="s">
        <v>14</v>
      </c>
      <c r="B66" s="178" t="s">
        <v>30</v>
      </c>
      <c r="C66" s="212"/>
      <c r="D66" s="213"/>
      <c r="E66" s="214">
        <v>355.5</v>
      </c>
      <c r="F66" s="180"/>
      <c r="G66" s="180"/>
      <c r="H66" s="194"/>
      <c r="I66" s="90"/>
      <c r="J66" s="209">
        <v>4712.5</v>
      </c>
      <c r="K66" s="91" t="s">
        <v>15</v>
      </c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ht="13.5" thickBot="1" x14ac:dyDescent="0.35">
      <c r="A67" s="251"/>
      <c r="B67" s="215"/>
      <c r="C67" s="215"/>
      <c r="D67" s="114"/>
      <c r="E67" s="216"/>
      <c r="F67" s="216"/>
      <c r="G67" s="216"/>
      <c r="H67" s="217"/>
      <c r="I67" s="90"/>
      <c r="J67" s="209"/>
      <c r="K67" s="91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13.5" thickBot="1" x14ac:dyDescent="0.35">
      <c r="A68" s="244" t="s">
        <v>65</v>
      </c>
      <c r="B68" s="130"/>
      <c r="C68" s="130"/>
      <c r="D68" s="94"/>
      <c r="E68" s="94"/>
      <c r="F68" s="94"/>
      <c r="G68" s="94"/>
      <c r="H68" s="96"/>
      <c r="I68" s="90"/>
      <c r="J68" s="209"/>
      <c r="K68" s="91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13" x14ac:dyDescent="0.3">
      <c r="A69" s="245"/>
      <c r="B69" s="131"/>
      <c r="C69" s="131"/>
      <c r="D69" s="97"/>
      <c r="E69" s="97"/>
      <c r="F69" s="97"/>
      <c r="G69" s="97"/>
      <c r="H69" s="99"/>
      <c r="I69" s="90"/>
      <c r="J69" s="209"/>
      <c r="K69" s="91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13" x14ac:dyDescent="0.3">
      <c r="A70" s="249" t="s">
        <v>66</v>
      </c>
      <c r="B70" s="218" t="s">
        <v>68</v>
      </c>
      <c r="C70" s="132"/>
      <c r="D70" s="219"/>
      <c r="E70" s="220"/>
      <c r="F70" s="219"/>
      <c r="G70" s="219"/>
      <c r="H70" s="221">
        <v>6.16</v>
      </c>
      <c r="I70" s="90"/>
      <c r="J70" s="90"/>
      <c r="K70" s="91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ht="13" x14ac:dyDescent="0.3">
      <c r="A71" s="250" t="s">
        <v>67</v>
      </c>
      <c r="B71" s="222" t="s">
        <v>109</v>
      </c>
      <c r="C71" s="135"/>
      <c r="D71" s="136"/>
      <c r="E71" s="213"/>
      <c r="F71" s="136"/>
      <c r="G71" s="136"/>
      <c r="H71" s="223">
        <v>13.23</v>
      </c>
      <c r="I71" s="90"/>
      <c r="J71" s="209"/>
      <c r="K71" s="91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ht="13.5" thickBot="1" x14ac:dyDescent="0.35">
      <c r="A72" s="251" t="s">
        <v>110</v>
      </c>
      <c r="B72" s="224">
        <v>3731.3</v>
      </c>
      <c r="C72" s="215"/>
      <c r="D72" s="114"/>
      <c r="E72" s="216"/>
      <c r="F72" s="216"/>
      <c r="G72" s="216"/>
      <c r="H72" s="225">
        <f>B72*12</f>
        <v>44775.600000000006</v>
      </c>
      <c r="I72" s="90"/>
      <c r="J72" s="209"/>
      <c r="K72" s="91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ht="13.5" thickBot="1" x14ac:dyDescent="0.35">
      <c r="A73" s="244" t="s">
        <v>16</v>
      </c>
      <c r="B73" s="130"/>
      <c r="C73" s="130"/>
      <c r="D73" s="94"/>
      <c r="E73" s="94"/>
      <c r="F73" s="94"/>
      <c r="G73" s="94"/>
      <c r="H73" s="96"/>
      <c r="I73" s="90"/>
      <c r="J73" s="209"/>
      <c r="K73" s="91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x14ac:dyDescent="0.25">
      <c r="A74" s="247"/>
      <c r="B74" s="131"/>
      <c r="C74" s="131"/>
      <c r="D74" s="97"/>
      <c r="E74" s="97"/>
      <c r="F74" s="97"/>
      <c r="G74" s="97"/>
      <c r="H74" s="99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ht="13" x14ac:dyDescent="0.3">
      <c r="A75" s="249" t="s">
        <v>14</v>
      </c>
      <c r="B75" s="132"/>
      <c r="C75" s="218"/>
      <c r="D75" s="219">
        <v>0</v>
      </c>
      <c r="E75" s="171">
        <v>1.4</v>
      </c>
      <c r="F75" s="171"/>
      <c r="G75" s="171"/>
      <c r="H75" s="226">
        <v>2.1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ht="13" x14ac:dyDescent="0.3">
      <c r="A76" s="252" t="s">
        <v>17</v>
      </c>
      <c r="B76" s="227">
        <v>100000</v>
      </c>
      <c r="C76" s="222"/>
      <c r="D76" s="136"/>
      <c r="E76" s="136"/>
      <c r="F76" s="136"/>
      <c r="G76" s="136"/>
      <c r="H76" s="228" t="s">
        <v>68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3" thickBot="1" x14ac:dyDescent="0.3">
      <c r="A77" s="248"/>
      <c r="B77" s="198"/>
      <c r="C77" s="198"/>
      <c r="D77" s="114"/>
      <c r="E77" s="114"/>
      <c r="F77" s="114"/>
      <c r="G77" s="114"/>
      <c r="H77" s="116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ht="13.5" thickBot="1" x14ac:dyDescent="0.35">
      <c r="A78" s="244" t="s">
        <v>71</v>
      </c>
      <c r="B78" s="94"/>
      <c r="C78" s="94"/>
      <c r="D78" s="94"/>
      <c r="E78" s="94"/>
      <c r="F78" s="94"/>
      <c r="G78" s="94"/>
      <c r="H78" s="96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ht="13" x14ac:dyDescent="0.3">
      <c r="A79" s="247"/>
      <c r="B79" s="159" t="s">
        <v>55</v>
      </c>
      <c r="C79" s="159"/>
      <c r="D79" s="229"/>
      <c r="E79" s="97"/>
      <c r="F79" s="97"/>
      <c r="G79" s="97"/>
      <c r="H79" s="99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ht="13" x14ac:dyDescent="0.3">
      <c r="A80" s="249" t="s">
        <v>39</v>
      </c>
      <c r="B80" s="230">
        <f>L45</f>
        <v>1</v>
      </c>
      <c r="C80" s="230"/>
      <c r="D80" s="219">
        <v>850</v>
      </c>
      <c r="E80" s="143"/>
      <c r="F80" s="173"/>
      <c r="G80" s="173"/>
      <c r="H80" s="231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ht="13" x14ac:dyDescent="0.3">
      <c r="A81" s="246"/>
      <c r="B81" s="232">
        <f>L46</f>
        <v>0.8</v>
      </c>
      <c r="C81" s="232"/>
      <c r="D81" s="97">
        <f>D80*0.8</f>
        <v>680</v>
      </c>
      <c r="E81" s="146" t="s">
        <v>69</v>
      </c>
      <c r="F81" s="123"/>
      <c r="G81" s="123"/>
      <c r="H81" s="233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ht="13" x14ac:dyDescent="0.3">
      <c r="A82" s="250" t="s">
        <v>38</v>
      </c>
      <c r="B82" s="234">
        <f>L47</f>
        <v>0.6</v>
      </c>
      <c r="C82" s="234"/>
      <c r="D82" s="136">
        <f>D80*0.6</f>
        <v>510</v>
      </c>
      <c r="E82" s="160"/>
      <c r="F82" s="182"/>
      <c r="G82" s="182"/>
      <c r="H82" s="183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ht="13" thickBot="1" x14ac:dyDescent="0.3">
      <c r="A83" s="248"/>
      <c r="B83" s="235"/>
      <c r="C83" s="235"/>
      <c r="D83" s="114"/>
      <c r="E83" s="114"/>
      <c r="F83" s="114"/>
      <c r="G83" s="114"/>
      <c r="H83" s="116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13.5" thickBot="1" x14ac:dyDescent="0.35">
      <c r="A84" s="244" t="s">
        <v>22</v>
      </c>
      <c r="B84" s="94"/>
      <c r="C84" s="94"/>
      <c r="D84" s="94"/>
      <c r="E84" s="94"/>
      <c r="F84" s="94"/>
      <c r="G84" s="94"/>
      <c r="H84" s="96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x14ac:dyDescent="0.25">
      <c r="A85" s="247"/>
      <c r="B85" s="97"/>
      <c r="C85" s="97"/>
      <c r="D85" s="97"/>
      <c r="E85" s="97"/>
      <c r="F85" s="97"/>
      <c r="G85" s="97"/>
      <c r="H85" s="99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ht="13" x14ac:dyDescent="0.3">
      <c r="A86" s="250" t="s">
        <v>47</v>
      </c>
      <c r="B86" s="136"/>
      <c r="C86" s="136"/>
      <c r="D86" s="236">
        <v>0.03</v>
      </c>
      <c r="E86" s="236">
        <v>0.03</v>
      </c>
      <c r="F86" s="236">
        <v>0.03</v>
      </c>
      <c r="G86" s="236"/>
      <c r="H86" s="237">
        <v>0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ht="13.5" thickBot="1" x14ac:dyDescent="0.35">
      <c r="A87" s="251" t="s">
        <v>108</v>
      </c>
      <c r="B87" s="114"/>
      <c r="C87" s="114"/>
      <c r="D87" s="114"/>
      <c r="E87" s="114"/>
      <c r="F87" s="238">
        <v>0.20499999999999999</v>
      </c>
      <c r="G87" s="238">
        <f>C10+C19/100+C27/100</f>
        <v>7.8817600000000002E-2</v>
      </c>
      <c r="H87" s="116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ht="13" x14ac:dyDescent="0.3">
      <c r="A88" s="253" t="s">
        <v>98</v>
      </c>
      <c r="B88" s="239"/>
      <c r="C88" s="239"/>
      <c r="D88" s="239"/>
      <c r="E88" s="239"/>
      <c r="F88" s="239"/>
      <c r="G88" s="240">
        <v>0.05</v>
      </c>
      <c r="H88" s="241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ht="13" x14ac:dyDescent="0.3">
      <c r="A89" s="246" t="s">
        <v>103</v>
      </c>
      <c r="B89" s="97"/>
      <c r="C89" s="97"/>
      <c r="D89" s="97"/>
      <c r="E89" s="97"/>
      <c r="F89" s="97"/>
      <c r="G89" s="255">
        <v>0.06</v>
      </c>
      <c r="H89" s="99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ht="13.5" thickBot="1" x14ac:dyDescent="0.35">
      <c r="A90" s="251" t="s">
        <v>112</v>
      </c>
      <c r="B90" s="114"/>
      <c r="C90" s="114"/>
      <c r="D90" s="114"/>
      <c r="E90" s="114"/>
      <c r="F90" s="114"/>
      <c r="G90" s="242">
        <v>0.03</v>
      </c>
      <c r="H90" s="116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ht="13" x14ac:dyDescent="0.3">
      <c r="A91" s="185"/>
      <c r="B91" s="97"/>
      <c r="C91" s="97"/>
      <c r="D91" s="97"/>
      <c r="E91" s="97"/>
      <c r="F91" s="97"/>
      <c r="G91" s="255"/>
      <c r="H91" s="97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:21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1:21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1:21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1:21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:21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:21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:21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:21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:21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:21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:21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1:21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1:21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1:21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1:21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:21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1:21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1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1:21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1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1:21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21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1:21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1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1:21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1:21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1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1:21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1:21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1:21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1:21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1:21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1:21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1:21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1:21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1:21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1:21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1:21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1:21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1:21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1:21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1:21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1:21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1:21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1:21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1:21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1:21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1:21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1:21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1:21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1:21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1:21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1:21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1:2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1:21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1:21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1:21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1:21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1:21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1:2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1:21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1:2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1:2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1:2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1:2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1:2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1:21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1:21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1:21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1:21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1:21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1:21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1:21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1:21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1:21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1:21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1:21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1:21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1:21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1:21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1:21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1:21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1:21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1:21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1:21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1:21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1:21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1:21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1:21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1:21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1:21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1:21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1:21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1:21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1:21" x14ac:dyDescent="0.2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1:21" x14ac:dyDescent="0.2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1:21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1:21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1:21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1:21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1:21" x14ac:dyDescent="0.2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1:21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1:21" x14ac:dyDescent="0.2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1:21" x14ac:dyDescent="0.2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1:21" x14ac:dyDescent="0.2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1:21" x14ac:dyDescent="0.2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1:21" x14ac:dyDescent="0.2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1:21" x14ac:dyDescent="0.2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1:21" x14ac:dyDescent="0.2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1:21" x14ac:dyDescent="0.2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1:21" x14ac:dyDescent="0.2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1:21" x14ac:dyDescent="0.2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1:21" x14ac:dyDescent="0.2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1:21" x14ac:dyDescent="0.2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1:21" x14ac:dyDescent="0.2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1:21" x14ac:dyDescent="0.2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1:21" x14ac:dyDescent="0.2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1:21" x14ac:dyDescent="0.2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1:21" x14ac:dyDescent="0.2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1:21" x14ac:dyDescent="0.2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1:21" x14ac:dyDescent="0.2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1:21" x14ac:dyDescent="0.2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1:21" x14ac:dyDescent="0.2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1:21" x14ac:dyDescent="0.2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1:21" x14ac:dyDescent="0.2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1:21" x14ac:dyDescent="0.2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1:21" x14ac:dyDescent="0.2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1:21" x14ac:dyDescent="0.2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1:21" x14ac:dyDescent="0.2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1:21" x14ac:dyDescent="0.2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1:21" x14ac:dyDescent="0.2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1:21" x14ac:dyDescent="0.2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1:21" x14ac:dyDescent="0.2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1:21" x14ac:dyDescent="0.2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1:21" x14ac:dyDescent="0.2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1:21" x14ac:dyDescent="0.2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1:21" x14ac:dyDescent="0.2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1:21" x14ac:dyDescent="0.2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1:21" x14ac:dyDescent="0.2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1:21" x14ac:dyDescent="0.2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1:21" x14ac:dyDescent="0.2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1:21" x14ac:dyDescent="0.2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1:21" x14ac:dyDescent="0.2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1:21" x14ac:dyDescent="0.2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1:21" x14ac:dyDescent="0.2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1:21" x14ac:dyDescent="0.2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1:21" x14ac:dyDescent="0.2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1:21" x14ac:dyDescent="0.2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1:21" x14ac:dyDescent="0.2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1:21" x14ac:dyDescent="0.2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1:21" x14ac:dyDescent="0.2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1:21" x14ac:dyDescent="0.2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1:21" x14ac:dyDescent="0.2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1:21" x14ac:dyDescent="0.2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1:21" x14ac:dyDescent="0.2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1:21" x14ac:dyDescent="0.2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1:21" x14ac:dyDescent="0.2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1:21" x14ac:dyDescent="0.2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1:21" x14ac:dyDescent="0.2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1:21" x14ac:dyDescent="0.2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1:21" x14ac:dyDescent="0.2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1:21" x14ac:dyDescent="0.2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1:21" x14ac:dyDescent="0.2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1:21" x14ac:dyDescent="0.2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1:21" x14ac:dyDescent="0.2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1:21" x14ac:dyDescent="0.2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1:21" x14ac:dyDescent="0.2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1:21" x14ac:dyDescent="0.2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1:21" x14ac:dyDescent="0.2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1:21" x14ac:dyDescent="0.2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1:21" x14ac:dyDescent="0.2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1:21" x14ac:dyDescent="0.2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1:21" x14ac:dyDescent="0.2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1:21" x14ac:dyDescent="0.2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1:21" x14ac:dyDescent="0.2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1:21" x14ac:dyDescent="0.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1:21" x14ac:dyDescent="0.2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1:21" x14ac:dyDescent="0.2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1:21" x14ac:dyDescent="0.2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1:21" x14ac:dyDescent="0.2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1:21" x14ac:dyDescent="0.2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1:21" x14ac:dyDescent="0.2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1:21" x14ac:dyDescent="0.2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1:21" x14ac:dyDescent="0.2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1:21" x14ac:dyDescent="0.2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1:21" x14ac:dyDescent="0.2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1:21" x14ac:dyDescent="0.2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1:21" x14ac:dyDescent="0.2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1:21" x14ac:dyDescent="0.2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1:21" x14ac:dyDescent="0.2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1:21" x14ac:dyDescent="0.2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1:21" x14ac:dyDescent="0.2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1:21" x14ac:dyDescent="0.2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1:21" x14ac:dyDescent="0.2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1:21" x14ac:dyDescent="0.2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1:21" x14ac:dyDescent="0.2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1:21" x14ac:dyDescent="0.2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1:21" x14ac:dyDescent="0.2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1:21" x14ac:dyDescent="0.2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1:21" x14ac:dyDescent="0.2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1:21" x14ac:dyDescent="0.2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1:21" x14ac:dyDescent="0.2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1:21" x14ac:dyDescent="0.2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1:21" x14ac:dyDescent="0.2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1:21" x14ac:dyDescent="0.2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1:21" x14ac:dyDescent="0.2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1:21" x14ac:dyDescent="0.2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1:21" x14ac:dyDescent="0.2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1:21" x14ac:dyDescent="0.2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1:21" x14ac:dyDescent="0.2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1:21" x14ac:dyDescent="0.2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1:21" x14ac:dyDescent="0.2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1:21" x14ac:dyDescent="0.2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1:21" x14ac:dyDescent="0.2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1:21" x14ac:dyDescent="0.2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1:21" x14ac:dyDescent="0.2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1:21" x14ac:dyDescent="0.2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1:21" x14ac:dyDescent="0.2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1:21" x14ac:dyDescent="0.2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1:21" x14ac:dyDescent="0.2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1:21" x14ac:dyDescent="0.2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1:21" x14ac:dyDescent="0.2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1:21" x14ac:dyDescent="0.2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1:21" x14ac:dyDescent="0.2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1:21" x14ac:dyDescent="0.2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1:21" x14ac:dyDescent="0.2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1:21" x14ac:dyDescent="0.2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1:21" x14ac:dyDescent="0.2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1:21" x14ac:dyDescent="0.2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1:21" x14ac:dyDescent="0.2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1:21" x14ac:dyDescent="0.2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1:21" x14ac:dyDescent="0.2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1:21" x14ac:dyDescent="0.2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1:21" x14ac:dyDescent="0.2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1:21" x14ac:dyDescent="0.2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1:21" x14ac:dyDescent="0.2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1:21" x14ac:dyDescent="0.2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1:21" x14ac:dyDescent="0.2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1:21" x14ac:dyDescent="0.2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1:21" x14ac:dyDescent="0.2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1:21" x14ac:dyDescent="0.2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1:21" x14ac:dyDescent="0.2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1:21" x14ac:dyDescent="0.2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1:21" x14ac:dyDescent="0.2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1:21" x14ac:dyDescent="0.2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1:21" x14ac:dyDescent="0.2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1:21" x14ac:dyDescent="0.2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1:21" x14ac:dyDescent="0.2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1:21" x14ac:dyDescent="0.2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1:21" x14ac:dyDescent="0.2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1:21" x14ac:dyDescent="0.2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1:21" x14ac:dyDescent="0.2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1:21" x14ac:dyDescent="0.2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1:21" x14ac:dyDescent="0.2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1:21" x14ac:dyDescent="0.2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1:21" x14ac:dyDescent="0.2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1:21" x14ac:dyDescent="0.2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1:21" x14ac:dyDescent="0.2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1:21" x14ac:dyDescent="0.2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1:21" x14ac:dyDescent="0.2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1:21" x14ac:dyDescent="0.2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1:21" x14ac:dyDescent="0.2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1:21" x14ac:dyDescent="0.2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1:21" x14ac:dyDescent="0.2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1:21" x14ac:dyDescent="0.2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1:21" x14ac:dyDescent="0.2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1:21" x14ac:dyDescent="0.2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1:21" x14ac:dyDescent="0.2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1:21" x14ac:dyDescent="0.2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1:21" x14ac:dyDescent="0.2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1:21" x14ac:dyDescent="0.2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1:21" x14ac:dyDescent="0.2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1:21" x14ac:dyDescent="0.2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1:21" x14ac:dyDescent="0.2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1:21" x14ac:dyDescent="0.2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1:21" x14ac:dyDescent="0.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1:21" x14ac:dyDescent="0.2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1:21" x14ac:dyDescent="0.2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1:21" x14ac:dyDescent="0.2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1:21" x14ac:dyDescent="0.2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1:21" x14ac:dyDescent="0.2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1:21" x14ac:dyDescent="0.2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1:21" x14ac:dyDescent="0.2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1:21" x14ac:dyDescent="0.2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1:21" x14ac:dyDescent="0.2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1:21" x14ac:dyDescent="0.2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1:21" x14ac:dyDescent="0.2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1:21" x14ac:dyDescent="0.2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1:21" x14ac:dyDescent="0.2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1:21" x14ac:dyDescent="0.2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1:21" x14ac:dyDescent="0.2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1:21" x14ac:dyDescent="0.2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1:21" x14ac:dyDescent="0.2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1:21" x14ac:dyDescent="0.2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1:21" x14ac:dyDescent="0.2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1:21" x14ac:dyDescent="0.2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1:21" x14ac:dyDescent="0.2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1:21" x14ac:dyDescent="0.2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1:21" x14ac:dyDescent="0.2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1:21" x14ac:dyDescent="0.2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1:21" x14ac:dyDescent="0.2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1:21" x14ac:dyDescent="0.2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</row>
    <row r="452" spans="1:21" x14ac:dyDescent="0.2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</row>
    <row r="453" spans="1:21" x14ac:dyDescent="0.2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</row>
    <row r="454" spans="1:21" x14ac:dyDescent="0.2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</row>
    <row r="455" spans="1:21" x14ac:dyDescent="0.2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</row>
    <row r="456" spans="1:21" x14ac:dyDescent="0.2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</row>
    <row r="457" spans="1:21" x14ac:dyDescent="0.2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</row>
    <row r="458" spans="1:21" x14ac:dyDescent="0.2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</row>
    <row r="459" spans="1:21" x14ac:dyDescent="0.2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</row>
    <row r="460" spans="1:21" x14ac:dyDescent="0.2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</row>
    <row r="461" spans="1:21" x14ac:dyDescent="0.2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</row>
    <row r="462" spans="1:21" x14ac:dyDescent="0.2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</row>
    <row r="463" spans="1:21" x14ac:dyDescent="0.2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</row>
    <row r="464" spans="1:21" x14ac:dyDescent="0.2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</row>
    <row r="465" spans="1:21" x14ac:dyDescent="0.2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</row>
    <row r="466" spans="1:21" x14ac:dyDescent="0.2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</row>
    <row r="467" spans="1:21" x14ac:dyDescent="0.2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</row>
    <row r="468" spans="1:21" x14ac:dyDescent="0.2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 spans="1:21" x14ac:dyDescent="0.2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</row>
    <row r="470" spans="1:21" x14ac:dyDescent="0.2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</row>
    <row r="471" spans="1:21" x14ac:dyDescent="0.2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 spans="1:21" x14ac:dyDescent="0.2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1:21" x14ac:dyDescent="0.2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1:21" x14ac:dyDescent="0.2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 spans="1:21" x14ac:dyDescent="0.2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</row>
    <row r="476" spans="1:21" x14ac:dyDescent="0.2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</row>
    <row r="477" spans="1:21" x14ac:dyDescent="0.2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</row>
    <row r="478" spans="1:21" x14ac:dyDescent="0.2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</row>
    <row r="479" spans="1:21" x14ac:dyDescent="0.2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</row>
    <row r="480" spans="1:21" x14ac:dyDescent="0.2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</row>
    <row r="481" spans="1:21" x14ac:dyDescent="0.2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</row>
    <row r="482" spans="1:21" x14ac:dyDescent="0.2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</row>
    <row r="483" spans="1:21" x14ac:dyDescent="0.2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</row>
    <row r="484" spans="1:21" x14ac:dyDescent="0.2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</row>
    <row r="485" spans="1:21" x14ac:dyDescent="0.2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</row>
    <row r="486" spans="1:21" x14ac:dyDescent="0.2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</row>
    <row r="487" spans="1:21" x14ac:dyDescent="0.2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</row>
    <row r="488" spans="1:21" x14ac:dyDescent="0.2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</row>
    <row r="489" spans="1:21" x14ac:dyDescent="0.2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</row>
    <row r="490" spans="1:21" x14ac:dyDescent="0.2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</row>
    <row r="491" spans="1:21" x14ac:dyDescent="0.2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</row>
    <row r="492" spans="1:21" x14ac:dyDescent="0.2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</row>
    <row r="493" spans="1:21" x14ac:dyDescent="0.2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</row>
    <row r="494" spans="1:21" x14ac:dyDescent="0.2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</row>
    <row r="495" spans="1:21" x14ac:dyDescent="0.2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</row>
    <row r="496" spans="1:21" x14ac:dyDescent="0.2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</row>
    <row r="497" spans="1:21" x14ac:dyDescent="0.2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</row>
    <row r="498" spans="1:21" x14ac:dyDescent="0.2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</row>
    <row r="499" spans="1:21" x14ac:dyDescent="0.2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</row>
    <row r="500" spans="1:21" x14ac:dyDescent="0.2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</row>
    <row r="501" spans="1:21" x14ac:dyDescent="0.2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</row>
    <row r="502" spans="1:21" x14ac:dyDescent="0.2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 spans="1:21" x14ac:dyDescent="0.2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</row>
    <row r="504" spans="1:21" x14ac:dyDescent="0.2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</row>
    <row r="505" spans="1:21" x14ac:dyDescent="0.2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 spans="1:21" x14ac:dyDescent="0.2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 spans="1:21" x14ac:dyDescent="0.2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 spans="1:21" x14ac:dyDescent="0.2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 spans="1:21" x14ac:dyDescent="0.2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</row>
    <row r="510" spans="1:21" x14ac:dyDescent="0.2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</row>
    <row r="511" spans="1:21" x14ac:dyDescent="0.2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</row>
    <row r="512" spans="1:21" x14ac:dyDescent="0.2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</row>
    <row r="513" spans="1:21" x14ac:dyDescent="0.2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</row>
    <row r="514" spans="1:21" x14ac:dyDescent="0.2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 spans="1:21" x14ac:dyDescent="0.2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 spans="1:21" x14ac:dyDescent="0.2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</row>
    <row r="517" spans="1:21" x14ac:dyDescent="0.2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</row>
    <row r="518" spans="1:21" x14ac:dyDescent="0.2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</row>
    <row r="519" spans="1:21" x14ac:dyDescent="0.2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</row>
    <row r="520" spans="1:21" x14ac:dyDescent="0.2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</row>
    <row r="521" spans="1:21" x14ac:dyDescent="0.2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</row>
    <row r="522" spans="1:21" x14ac:dyDescent="0.2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</row>
    <row r="523" spans="1:21" x14ac:dyDescent="0.2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</row>
    <row r="524" spans="1:21" x14ac:dyDescent="0.2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</row>
    <row r="525" spans="1:21" x14ac:dyDescent="0.2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</row>
    <row r="526" spans="1:21" x14ac:dyDescent="0.2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</row>
    <row r="527" spans="1:21" x14ac:dyDescent="0.2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</row>
    <row r="528" spans="1:21" x14ac:dyDescent="0.2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</row>
    <row r="529" spans="1:21" x14ac:dyDescent="0.2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</row>
    <row r="530" spans="1:21" x14ac:dyDescent="0.2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</row>
    <row r="531" spans="1:21" x14ac:dyDescent="0.2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</row>
    <row r="532" spans="1:21" x14ac:dyDescent="0.2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</row>
    <row r="533" spans="1:21" x14ac:dyDescent="0.2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</row>
    <row r="534" spans="1:21" x14ac:dyDescent="0.2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</row>
    <row r="535" spans="1:21" x14ac:dyDescent="0.2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</row>
    <row r="536" spans="1:21" x14ac:dyDescent="0.2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</row>
    <row r="537" spans="1:21" x14ac:dyDescent="0.2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</row>
    <row r="538" spans="1:21" x14ac:dyDescent="0.2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</row>
    <row r="539" spans="1:21" x14ac:dyDescent="0.2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</row>
    <row r="540" spans="1:21" x14ac:dyDescent="0.2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</row>
    <row r="541" spans="1:21" x14ac:dyDescent="0.2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</row>
    <row r="542" spans="1:21" x14ac:dyDescent="0.2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</row>
    <row r="543" spans="1:21" x14ac:dyDescent="0.2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</row>
    <row r="544" spans="1:21" x14ac:dyDescent="0.2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</row>
    <row r="545" spans="1:21" x14ac:dyDescent="0.2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</row>
    <row r="546" spans="1:21" x14ac:dyDescent="0.2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</row>
    <row r="547" spans="1:21" x14ac:dyDescent="0.2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</row>
    <row r="548" spans="1:21" x14ac:dyDescent="0.2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</row>
    <row r="549" spans="1:21" x14ac:dyDescent="0.2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</row>
    <row r="550" spans="1:21" x14ac:dyDescent="0.2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</row>
    <row r="551" spans="1:21" x14ac:dyDescent="0.2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</row>
    <row r="552" spans="1:21" x14ac:dyDescent="0.2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</row>
    <row r="553" spans="1:21" x14ac:dyDescent="0.2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</row>
    <row r="554" spans="1:21" x14ac:dyDescent="0.2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</row>
    <row r="555" spans="1:21" x14ac:dyDescent="0.2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</row>
    <row r="556" spans="1:21" x14ac:dyDescent="0.2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</row>
    <row r="557" spans="1:21" x14ac:dyDescent="0.2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</row>
    <row r="558" spans="1:21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</row>
    <row r="559" spans="1:21" x14ac:dyDescent="0.2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</row>
    <row r="560" spans="1:21" x14ac:dyDescent="0.2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</row>
    <row r="561" spans="1:21" x14ac:dyDescent="0.2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</row>
    <row r="562" spans="1:21" x14ac:dyDescent="0.2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</row>
    <row r="563" spans="1:21" x14ac:dyDescent="0.2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</row>
    <row r="564" spans="1:21" x14ac:dyDescent="0.2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</row>
    <row r="565" spans="1:21" x14ac:dyDescent="0.2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</row>
    <row r="566" spans="1:21" x14ac:dyDescent="0.2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</row>
    <row r="567" spans="1:21" x14ac:dyDescent="0.2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</row>
    <row r="568" spans="1:21" x14ac:dyDescent="0.2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</row>
    <row r="569" spans="1:21" x14ac:dyDescent="0.2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</row>
    <row r="570" spans="1:21" x14ac:dyDescent="0.2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</row>
    <row r="571" spans="1:21" x14ac:dyDescent="0.2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</row>
    <row r="572" spans="1:21" x14ac:dyDescent="0.2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</row>
    <row r="573" spans="1:21" x14ac:dyDescent="0.2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</row>
    <row r="574" spans="1:21" x14ac:dyDescent="0.2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</row>
    <row r="575" spans="1:21" x14ac:dyDescent="0.2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</row>
    <row r="576" spans="1:21" x14ac:dyDescent="0.2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</row>
    <row r="577" spans="1:21" x14ac:dyDescent="0.2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</row>
    <row r="578" spans="1:21" x14ac:dyDescent="0.2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</row>
    <row r="579" spans="1:21" x14ac:dyDescent="0.2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</row>
    <row r="580" spans="1:21" x14ac:dyDescent="0.2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</row>
    <row r="581" spans="1:21" x14ac:dyDescent="0.2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</row>
    <row r="582" spans="1:21" x14ac:dyDescent="0.2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</row>
    <row r="583" spans="1:21" x14ac:dyDescent="0.2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</row>
    <row r="584" spans="1:21" x14ac:dyDescent="0.2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</row>
    <row r="585" spans="1:21" x14ac:dyDescent="0.2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</row>
    <row r="586" spans="1:21" x14ac:dyDescent="0.2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</row>
    <row r="587" spans="1:21" x14ac:dyDescent="0.2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</row>
    <row r="588" spans="1:21" x14ac:dyDescent="0.2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</row>
    <row r="589" spans="1:21" x14ac:dyDescent="0.2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</row>
    <row r="590" spans="1:21" x14ac:dyDescent="0.2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</row>
    <row r="591" spans="1:21" x14ac:dyDescent="0.2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</row>
    <row r="592" spans="1:21" x14ac:dyDescent="0.2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</row>
    <row r="593" spans="1:21" x14ac:dyDescent="0.2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</row>
    <row r="594" spans="1:21" x14ac:dyDescent="0.2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</row>
    <row r="595" spans="1:21" x14ac:dyDescent="0.2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</row>
    <row r="596" spans="1:21" x14ac:dyDescent="0.2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</row>
    <row r="597" spans="1:21" x14ac:dyDescent="0.2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</row>
    <row r="598" spans="1:21" x14ac:dyDescent="0.2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</row>
    <row r="599" spans="1:21" x14ac:dyDescent="0.2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</row>
    <row r="600" spans="1:21" x14ac:dyDescent="0.2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</row>
    <row r="601" spans="1:21" x14ac:dyDescent="0.2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</row>
    <row r="602" spans="1:21" x14ac:dyDescent="0.2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</row>
    <row r="603" spans="1:21" x14ac:dyDescent="0.2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</row>
    <row r="604" spans="1:21" x14ac:dyDescent="0.2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 spans="1:21" x14ac:dyDescent="0.2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</row>
    <row r="606" spans="1:21" x14ac:dyDescent="0.2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</row>
    <row r="607" spans="1:21" x14ac:dyDescent="0.2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</row>
    <row r="608" spans="1:21" x14ac:dyDescent="0.2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</row>
    <row r="609" spans="1:21" x14ac:dyDescent="0.2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</row>
    <row r="610" spans="1:21" x14ac:dyDescent="0.2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</row>
    <row r="611" spans="1:21" x14ac:dyDescent="0.2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</row>
    <row r="612" spans="1:21" x14ac:dyDescent="0.2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</row>
    <row r="613" spans="1:21" x14ac:dyDescent="0.2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</row>
    <row r="614" spans="1:21" x14ac:dyDescent="0.2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</row>
    <row r="615" spans="1:21" x14ac:dyDescent="0.2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</row>
    <row r="616" spans="1:21" x14ac:dyDescent="0.2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</row>
    <row r="617" spans="1:21" x14ac:dyDescent="0.2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</row>
    <row r="618" spans="1:21" x14ac:dyDescent="0.2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</row>
    <row r="619" spans="1:21" x14ac:dyDescent="0.2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</row>
    <row r="620" spans="1:21" x14ac:dyDescent="0.2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</row>
    <row r="621" spans="1:21" x14ac:dyDescent="0.2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</row>
    <row r="622" spans="1:21" x14ac:dyDescent="0.2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</row>
    <row r="623" spans="1:21" x14ac:dyDescent="0.2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</row>
    <row r="624" spans="1:21" x14ac:dyDescent="0.2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</row>
    <row r="625" spans="1:21" x14ac:dyDescent="0.2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</row>
    <row r="626" spans="1:21" x14ac:dyDescent="0.2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</row>
    <row r="627" spans="1:21" x14ac:dyDescent="0.2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</row>
    <row r="628" spans="1:21" x14ac:dyDescent="0.2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</row>
    <row r="629" spans="1:21" x14ac:dyDescent="0.2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</row>
    <row r="630" spans="1:21" x14ac:dyDescent="0.2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</row>
    <row r="631" spans="1:21" x14ac:dyDescent="0.2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</row>
    <row r="632" spans="1:21" x14ac:dyDescent="0.2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</row>
    <row r="633" spans="1:21" x14ac:dyDescent="0.2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</row>
    <row r="634" spans="1:21" x14ac:dyDescent="0.2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</row>
    <row r="635" spans="1:21" x14ac:dyDescent="0.2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</row>
    <row r="636" spans="1:21" x14ac:dyDescent="0.2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</row>
    <row r="637" spans="1:21" x14ac:dyDescent="0.2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</row>
    <row r="638" spans="1:21" x14ac:dyDescent="0.2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</row>
    <row r="639" spans="1:21" x14ac:dyDescent="0.2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</row>
    <row r="640" spans="1:21" x14ac:dyDescent="0.2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</row>
    <row r="641" spans="1:21" x14ac:dyDescent="0.2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</row>
    <row r="642" spans="1:21" x14ac:dyDescent="0.2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</row>
    <row r="643" spans="1:21" x14ac:dyDescent="0.2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</row>
    <row r="644" spans="1:21" x14ac:dyDescent="0.2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</row>
    <row r="645" spans="1:21" x14ac:dyDescent="0.2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</row>
    <row r="646" spans="1:21" x14ac:dyDescent="0.2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</row>
    <row r="647" spans="1:21" x14ac:dyDescent="0.2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</row>
    <row r="648" spans="1:21" x14ac:dyDescent="0.2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</row>
    <row r="649" spans="1:21" x14ac:dyDescent="0.2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</row>
    <row r="650" spans="1:21" x14ac:dyDescent="0.2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</row>
    <row r="651" spans="1:21" x14ac:dyDescent="0.2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</row>
    <row r="652" spans="1:21" x14ac:dyDescent="0.2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</row>
    <row r="653" spans="1:21" x14ac:dyDescent="0.2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</row>
    <row r="654" spans="1:21" x14ac:dyDescent="0.2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</row>
    <row r="655" spans="1:21" x14ac:dyDescent="0.2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</row>
    <row r="656" spans="1:21" x14ac:dyDescent="0.2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</row>
    <row r="657" spans="1:21" x14ac:dyDescent="0.2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</row>
    <row r="658" spans="1:21" x14ac:dyDescent="0.2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</row>
    <row r="659" spans="1:21" x14ac:dyDescent="0.2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</row>
    <row r="660" spans="1:21" x14ac:dyDescent="0.2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</row>
    <row r="661" spans="1:21" x14ac:dyDescent="0.2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</row>
    <row r="662" spans="1:21" x14ac:dyDescent="0.2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</row>
    <row r="663" spans="1:21" x14ac:dyDescent="0.2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</row>
    <row r="664" spans="1:21" x14ac:dyDescent="0.2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</row>
    <row r="665" spans="1:21" x14ac:dyDescent="0.2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</row>
    <row r="666" spans="1:21" x14ac:dyDescent="0.2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</row>
    <row r="667" spans="1:21" x14ac:dyDescent="0.2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</row>
    <row r="668" spans="1:21" x14ac:dyDescent="0.2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</row>
    <row r="669" spans="1:21" x14ac:dyDescent="0.2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</row>
    <row r="670" spans="1:21" x14ac:dyDescent="0.2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</row>
    <row r="671" spans="1:21" x14ac:dyDescent="0.2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</row>
    <row r="672" spans="1:21" x14ac:dyDescent="0.2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</row>
    <row r="673" spans="1:21" x14ac:dyDescent="0.2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</row>
    <row r="674" spans="1:21" x14ac:dyDescent="0.2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</row>
    <row r="675" spans="1:21" x14ac:dyDescent="0.2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</row>
    <row r="676" spans="1:21" x14ac:dyDescent="0.2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</row>
    <row r="677" spans="1:21" x14ac:dyDescent="0.2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</row>
    <row r="678" spans="1:21" x14ac:dyDescent="0.2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</row>
    <row r="679" spans="1:21" x14ac:dyDescent="0.2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</row>
    <row r="680" spans="1:21" x14ac:dyDescent="0.2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</row>
    <row r="681" spans="1:21" x14ac:dyDescent="0.2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</row>
    <row r="682" spans="1:21" x14ac:dyDescent="0.2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</row>
    <row r="683" spans="1:21" x14ac:dyDescent="0.2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</row>
    <row r="684" spans="1:21" x14ac:dyDescent="0.2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</row>
    <row r="685" spans="1:21" x14ac:dyDescent="0.2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</row>
    <row r="686" spans="1:21" x14ac:dyDescent="0.2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</row>
    <row r="687" spans="1:21" x14ac:dyDescent="0.2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</row>
    <row r="688" spans="1:21" x14ac:dyDescent="0.2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</row>
    <row r="689" spans="1:21" x14ac:dyDescent="0.2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</row>
    <row r="690" spans="1:21" x14ac:dyDescent="0.2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</row>
    <row r="691" spans="1:21" x14ac:dyDescent="0.2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</row>
    <row r="692" spans="1:21" x14ac:dyDescent="0.2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</row>
    <row r="693" spans="1:21" x14ac:dyDescent="0.2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</row>
    <row r="694" spans="1:21" x14ac:dyDescent="0.2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</row>
    <row r="695" spans="1:21" x14ac:dyDescent="0.2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</row>
    <row r="696" spans="1:21" x14ac:dyDescent="0.2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</row>
    <row r="697" spans="1:21" x14ac:dyDescent="0.2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</row>
    <row r="698" spans="1:21" x14ac:dyDescent="0.2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</row>
    <row r="699" spans="1:21" x14ac:dyDescent="0.2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</row>
    <row r="700" spans="1:21" x14ac:dyDescent="0.2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</row>
    <row r="701" spans="1:21" x14ac:dyDescent="0.2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</row>
    <row r="702" spans="1:21" x14ac:dyDescent="0.2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</row>
    <row r="703" spans="1:21" x14ac:dyDescent="0.2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</row>
    <row r="704" spans="1:21" x14ac:dyDescent="0.2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</row>
    <row r="705" spans="1:21" x14ac:dyDescent="0.2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</row>
    <row r="706" spans="1:21" x14ac:dyDescent="0.2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</row>
    <row r="707" spans="1:21" x14ac:dyDescent="0.2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</row>
    <row r="708" spans="1:21" x14ac:dyDescent="0.2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</row>
    <row r="709" spans="1:21" x14ac:dyDescent="0.2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</row>
    <row r="710" spans="1:21" x14ac:dyDescent="0.2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</row>
    <row r="711" spans="1:21" x14ac:dyDescent="0.2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</row>
    <row r="712" spans="1:21" x14ac:dyDescent="0.2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</row>
    <row r="713" spans="1:21" x14ac:dyDescent="0.2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</row>
    <row r="714" spans="1:21" x14ac:dyDescent="0.2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</row>
    <row r="715" spans="1:21" x14ac:dyDescent="0.2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</row>
    <row r="716" spans="1:21" x14ac:dyDescent="0.2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</row>
    <row r="717" spans="1:21" x14ac:dyDescent="0.2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</row>
    <row r="718" spans="1:21" x14ac:dyDescent="0.2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</row>
    <row r="719" spans="1:21" x14ac:dyDescent="0.2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</row>
    <row r="720" spans="1:21" x14ac:dyDescent="0.2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</row>
    <row r="721" spans="1:21" x14ac:dyDescent="0.2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</row>
    <row r="722" spans="1:21" x14ac:dyDescent="0.2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</row>
    <row r="723" spans="1:21" x14ac:dyDescent="0.2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</row>
    <row r="724" spans="1:21" x14ac:dyDescent="0.2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</row>
    <row r="725" spans="1:21" x14ac:dyDescent="0.2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</row>
    <row r="726" spans="1:21" x14ac:dyDescent="0.2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</row>
    <row r="727" spans="1:21" x14ac:dyDescent="0.2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</row>
    <row r="728" spans="1:21" x14ac:dyDescent="0.2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</row>
    <row r="729" spans="1:21" x14ac:dyDescent="0.2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</row>
    <row r="730" spans="1:21" x14ac:dyDescent="0.2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</row>
    <row r="731" spans="1:21" x14ac:dyDescent="0.2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</row>
    <row r="732" spans="1:21" x14ac:dyDescent="0.2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</row>
    <row r="733" spans="1:21" x14ac:dyDescent="0.2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</row>
    <row r="734" spans="1:21" x14ac:dyDescent="0.2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</row>
    <row r="735" spans="1:21" x14ac:dyDescent="0.2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</row>
    <row r="736" spans="1:21" x14ac:dyDescent="0.2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</row>
    <row r="737" spans="1:21" x14ac:dyDescent="0.2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</row>
    <row r="738" spans="1:21" x14ac:dyDescent="0.2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</row>
    <row r="739" spans="1:21" x14ac:dyDescent="0.2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</row>
    <row r="740" spans="1:21" x14ac:dyDescent="0.2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</row>
    <row r="741" spans="1:21" x14ac:dyDescent="0.2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</row>
    <row r="742" spans="1:21" x14ac:dyDescent="0.2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</row>
    <row r="743" spans="1:21" x14ac:dyDescent="0.2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</row>
    <row r="744" spans="1:21" x14ac:dyDescent="0.2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</row>
    <row r="745" spans="1:21" x14ac:dyDescent="0.2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</row>
    <row r="746" spans="1:21" x14ac:dyDescent="0.2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</row>
    <row r="747" spans="1:21" x14ac:dyDescent="0.2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</row>
    <row r="748" spans="1:21" x14ac:dyDescent="0.2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</row>
    <row r="749" spans="1:21" x14ac:dyDescent="0.2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</row>
    <row r="750" spans="1:21" x14ac:dyDescent="0.2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</row>
    <row r="751" spans="1:21" x14ac:dyDescent="0.2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</row>
    <row r="752" spans="1:21" x14ac:dyDescent="0.2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</row>
    <row r="753" spans="1:21" x14ac:dyDescent="0.2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</row>
    <row r="754" spans="1:21" x14ac:dyDescent="0.2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</row>
    <row r="755" spans="1:21" x14ac:dyDescent="0.2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</row>
    <row r="756" spans="1:21" x14ac:dyDescent="0.2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</row>
    <row r="757" spans="1:21" x14ac:dyDescent="0.2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</row>
    <row r="758" spans="1:21" x14ac:dyDescent="0.2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</row>
    <row r="759" spans="1:21" x14ac:dyDescent="0.2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</row>
    <row r="760" spans="1:21" x14ac:dyDescent="0.2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</row>
    <row r="761" spans="1:21" x14ac:dyDescent="0.2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</row>
    <row r="762" spans="1:21" x14ac:dyDescent="0.2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</row>
    <row r="763" spans="1:21" x14ac:dyDescent="0.2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</row>
    <row r="764" spans="1:21" x14ac:dyDescent="0.2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</row>
    <row r="765" spans="1:21" x14ac:dyDescent="0.2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</row>
    <row r="766" spans="1:21" x14ac:dyDescent="0.2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</row>
    <row r="767" spans="1:21" x14ac:dyDescent="0.2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</row>
    <row r="768" spans="1:21" x14ac:dyDescent="0.2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</row>
    <row r="769" spans="1:21" x14ac:dyDescent="0.2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</row>
    <row r="770" spans="1:21" x14ac:dyDescent="0.2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</row>
    <row r="771" spans="1:21" x14ac:dyDescent="0.2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</row>
    <row r="772" spans="1:21" x14ac:dyDescent="0.2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</row>
    <row r="773" spans="1:21" x14ac:dyDescent="0.2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</row>
    <row r="774" spans="1:21" x14ac:dyDescent="0.2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</row>
    <row r="775" spans="1:21" x14ac:dyDescent="0.2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</row>
    <row r="776" spans="1:21" x14ac:dyDescent="0.2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</row>
    <row r="777" spans="1:21" x14ac:dyDescent="0.2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</row>
    <row r="778" spans="1:21" x14ac:dyDescent="0.2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</row>
    <row r="779" spans="1:21" x14ac:dyDescent="0.2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</row>
    <row r="780" spans="1:21" x14ac:dyDescent="0.2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</row>
    <row r="781" spans="1:21" x14ac:dyDescent="0.2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</row>
    <row r="782" spans="1:21" x14ac:dyDescent="0.2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</row>
    <row r="783" spans="1:21" x14ac:dyDescent="0.2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</row>
    <row r="784" spans="1:21" x14ac:dyDescent="0.2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</row>
    <row r="785" spans="1:21" x14ac:dyDescent="0.2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</row>
    <row r="786" spans="1:21" x14ac:dyDescent="0.2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</row>
    <row r="787" spans="1:21" x14ac:dyDescent="0.2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</row>
    <row r="788" spans="1:21" x14ac:dyDescent="0.2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</row>
    <row r="789" spans="1:21" x14ac:dyDescent="0.2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</row>
    <row r="790" spans="1:21" x14ac:dyDescent="0.2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</row>
    <row r="791" spans="1:21" x14ac:dyDescent="0.2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</row>
    <row r="792" spans="1:21" x14ac:dyDescent="0.2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</row>
    <row r="793" spans="1:21" x14ac:dyDescent="0.2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</row>
    <row r="794" spans="1:21" x14ac:dyDescent="0.2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</row>
    <row r="795" spans="1:21" x14ac:dyDescent="0.2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</row>
    <row r="796" spans="1:21" x14ac:dyDescent="0.2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</row>
    <row r="797" spans="1:21" x14ac:dyDescent="0.2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</row>
    <row r="798" spans="1:21" x14ac:dyDescent="0.2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</row>
    <row r="799" spans="1:21" x14ac:dyDescent="0.2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</row>
    <row r="800" spans="1:21" x14ac:dyDescent="0.2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</row>
    <row r="801" spans="1:21" x14ac:dyDescent="0.2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</row>
    <row r="802" spans="1:21" x14ac:dyDescent="0.2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</row>
    <row r="803" spans="1:21" x14ac:dyDescent="0.2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</row>
    <row r="804" spans="1:21" x14ac:dyDescent="0.2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</row>
    <row r="805" spans="1:21" x14ac:dyDescent="0.2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</row>
    <row r="806" spans="1:21" x14ac:dyDescent="0.2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</row>
    <row r="807" spans="1:21" x14ac:dyDescent="0.2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</row>
    <row r="808" spans="1:21" x14ac:dyDescent="0.2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</row>
    <row r="809" spans="1:21" x14ac:dyDescent="0.2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</row>
    <row r="810" spans="1:21" x14ac:dyDescent="0.2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</row>
    <row r="811" spans="1:21" x14ac:dyDescent="0.2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</row>
    <row r="812" spans="1:21" x14ac:dyDescent="0.2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</row>
    <row r="813" spans="1:21" x14ac:dyDescent="0.2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</row>
    <row r="814" spans="1:21" x14ac:dyDescent="0.2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</row>
    <row r="815" spans="1:21" x14ac:dyDescent="0.2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</row>
    <row r="816" spans="1:21" x14ac:dyDescent="0.2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</row>
    <row r="817" spans="1:21" x14ac:dyDescent="0.2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</row>
    <row r="818" spans="1:21" x14ac:dyDescent="0.2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</row>
    <row r="819" spans="1:21" x14ac:dyDescent="0.2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</row>
    <row r="820" spans="1:21" x14ac:dyDescent="0.2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</row>
    <row r="821" spans="1:21" x14ac:dyDescent="0.2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</row>
    <row r="822" spans="1:21" x14ac:dyDescent="0.2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</row>
    <row r="823" spans="1:21" x14ac:dyDescent="0.2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</row>
    <row r="824" spans="1:21" x14ac:dyDescent="0.2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</row>
    <row r="825" spans="1:21" x14ac:dyDescent="0.2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</row>
    <row r="826" spans="1:21" x14ac:dyDescent="0.2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</row>
    <row r="827" spans="1:21" x14ac:dyDescent="0.2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</row>
    <row r="828" spans="1:21" x14ac:dyDescent="0.2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</row>
    <row r="829" spans="1:21" x14ac:dyDescent="0.2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</row>
    <row r="830" spans="1:21" x14ac:dyDescent="0.2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</row>
    <row r="831" spans="1:21" x14ac:dyDescent="0.2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</row>
    <row r="832" spans="1:21" x14ac:dyDescent="0.2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</row>
    <row r="833" spans="1:21" x14ac:dyDescent="0.2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</row>
    <row r="834" spans="1:21" x14ac:dyDescent="0.2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</row>
    <row r="835" spans="1:21" x14ac:dyDescent="0.2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</row>
    <row r="836" spans="1:21" x14ac:dyDescent="0.2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</row>
    <row r="837" spans="1:21" x14ac:dyDescent="0.2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</row>
    <row r="838" spans="1:21" x14ac:dyDescent="0.2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</row>
    <row r="839" spans="1:21" x14ac:dyDescent="0.2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</row>
    <row r="840" spans="1:21" x14ac:dyDescent="0.2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</row>
    <row r="841" spans="1:21" x14ac:dyDescent="0.2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</row>
    <row r="842" spans="1:21" x14ac:dyDescent="0.2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</row>
    <row r="843" spans="1:21" x14ac:dyDescent="0.2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</row>
    <row r="844" spans="1:21" x14ac:dyDescent="0.2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</row>
    <row r="845" spans="1:21" x14ac:dyDescent="0.2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</row>
    <row r="846" spans="1:21" x14ac:dyDescent="0.2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</row>
    <row r="847" spans="1:21" x14ac:dyDescent="0.2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</row>
    <row r="848" spans="1:21" x14ac:dyDescent="0.2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</row>
    <row r="849" spans="1:21" x14ac:dyDescent="0.2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</row>
    <row r="850" spans="1:21" x14ac:dyDescent="0.2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</row>
    <row r="851" spans="1:21" x14ac:dyDescent="0.2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</row>
    <row r="852" spans="1:21" x14ac:dyDescent="0.2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</row>
    <row r="853" spans="1:21" x14ac:dyDescent="0.2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</row>
    <row r="854" spans="1:21" x14ac:dyDescent="0.2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</row>
    <row r="855" spans="1:21" x14ac:dyDescent="0.2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</row>
    <row r="856" spans="1:21" x14ac:dyDescent="0.2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</row>
    <row r="857" spans="1:21" x14ac:dyDescent="0.2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</row>
    <row r="858" spans="1:21" x14ac:dyDescent="0.2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</row>
    <row r="859" spans="1:21" x14ac:dyDescent="0.2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</row>
    <row r="860" spans="1:21" x14ac:dyDescent="0.2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</row>
    <row r="861" spans="1:21" x14ac:dyDescent="0.2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</row>
    <row r="862" spans="1:21" x14ac:dyDescent="0.2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</row>
    <row r="863" spans="1:21" x14ac:dyDescent="0.2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</row>
    <row r="864" spans="1:21" x14ac:dyDescent="0.2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</row>
    <row r="865" spans="1:21" x14ac:dyDescent="0.2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</row>
    <row r="866" spans="1:21" x14ac:dyDescent="0.2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</row>
    <row r="867" spans="1:21" x14ac:dyDescent="0.2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</row>
    <row r="868" spans="1:21" x14ac:dyDescent="0.2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</row>
    <row r="869" spans="1:21" x14ac:dyDescent="0.2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</row>
    <row r="870" spans="1:21" x14ac:dyDescent="0.2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</row>
    <row r="871" spans="1:21" x14ac:dyDescent="0.2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</row>
    <row r="872" spans="1:21" x14ac:dyDescent="0.2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</row>
    <row r="873" spans="1:21" x14ac:dyDescent="0.2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</row>
    <row r="874" spans="1:21" x14ac:dyDescent="0.2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</row>
    <row r="875" spans="1:21" x14ac:dyDescent="0.2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</row>
    <row r="876" spans="1:21" x14ac:dyDescent="0.2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</row>
    <row r="877" spans="1:21" x14ac:dyDescent="0.2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</row>
    <row r="878" spans="1:21" x14ac:dyDescent="0.2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</row>
    <row r="879" spans="1:21" x14ac:dyDescent="0.2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</row>
    <row r="880" spans="1:21" x14ac:dyDescent="0.2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</row>
    <row r="881" spans="1:21" x14ac:dyDescent="0.2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</row>
    <row r="882" spans="1:21" x14ac:dyDescent="0.2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</row>
    <row r="883" spans="1:21" x14ac:dyDescent="0.2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</row>
    <row r="884" spans="1:21" x14ac:dyDescent="0.2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</row>
    <row r="885" spans="1:21" x14ac:dyDescent="0.2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</row>
    <row r="886" spans="1:21" x14ac:dyDescent="0.2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</row>
    <row r="887" spans="1:21" x14ac:dyDescent="0.2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</row>
    <row r="888" spans="1:21" x14ac:dyDescent="0.2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</row>
    <row r="889" spans="1:21" x14ac:dyDescent="0.2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</row>
    <row r="890" spans="1:21" x14ac:dyDescent="0.2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</row>
    <row r="891" spans="1:21" x14ac:dyDescent="0.2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</row>
  </sheetData>
  <sheetProtection selectLockedCells="1"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Cost Assumptions</vt:lpstr>
      <vt:lpstr>Calculation!Print_Area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</dc:creator>
  <cp:lastModifiedBy>Barb Munro</cp:lastModifiedBy>
  <cp:lastPrinted>2019-05-15T16:52:55Z</cp:lastPrinted>
  <dcterms:created xsi:type="dcterms:W3CDTF">2008-10-06T22:07:48Z</dcterms:created>
  <dcterms:modified xsi:type="dcterms:W3CDTF">2022-04-22T16:11:28Z</dcterms:modified>
</cp:coreProperties>
</file>